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s\Downloads\"/>
    </mc:Choice>
  </mc:AlternateContent>
  <bookViews>
    <workbookView xWindow="0" yWindow="0" windowWidth="16380" windowHeight="8190" tabRatio="500"/>
  </bookViews>
  <sheets>
    <sheet name="Condo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J35" i="1"/>
  <c r="G35" i="1"/>
  <c r="K35" i="1" s="1"/>
  <c r="J34" i="1"/>
  <c r="G34" i="1"/>
  <c r="K34" i="1" s="1"/>
  <c r="J33" i="1"/>
  <c r="G33" i="1"/>
  <c r="K33" i="1" s="1"/>
  <c r="J32" i="1"/>
  <c r="G32" i="1"/>
  <c r="K32" i="1" s="1"/>
  <c r="J31" i="1"/>
  <c r="G31" i="1"/>
  <c r="K31" i="1" s="1"/>
  <c r="J30" i="1"/>
  <c r="G30" i="1"/>
  <c r="K30" i="1" s="1"/>
  <c r="K29" i="1"/>
  <c r="J29" i="1"/>
  <c r="G29" i="1"/>
  <c r="K28" i="1"/>
  <c r="J28" i="1"/>
  <c r="G28" i="1"/>
  <c r="J27" i="1"/>
  <c r="G27" i="1"/>
  <c r="K27" i="1" s="1"/>
  <c r="J26" i="1"/>
  <c r="G26" i="1"/>
  <c r="K26" i="1" s="1"/>
  <c r="K25" i="1"/>
  <c r="J25" i="1"/>
  <c r="G25" i="1"/>
  <c r="K24" i="1"/>
  <c r="J24" i="1"/>
  <c r="G24" i="1"/>
  <c r="K23" i="1"/>
  <c r="J23" i="1"/>
  <c r="G23" i="1"/>
  <c r="J22" i="1"/>
  <c r="G22" i="1"/>
  <c r="K22" i="1" s="1"/>
  <c r="K21" i="1"/>
  <c r="J21" i="1"/>
  <c r="G21" i="1"/>
  <c r="K20" i="1"/>
  <c r="J20" i="1"/>
  <c r="G20" i="1"/>
  <c r="K19" i="1"/>
  <c r="J19" i="1"/>
  <c r="G19" i="1"/>
  <c r="J18" i="1"/>
  <c r="G18" i="1"/>
  <c r="K18" i="1" s="1"/>
  <c r="J17" i="1"/>
  <c r="G17" i="1"/>
  <c r="K17" i="1" s="1"/>
  <c r="J16" i="1"/>
  <c r="G16" i="1"/>
  <c r="K16" i="1" s="1"/>
  <c r="K15" i="1"/>
  <c r="J15" i="1"/>
  <c r="G15" i="1"/>
  <c r="K14" i="1"/>
  <c r="J14" i="1"/>
  <c r="G14" i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G9" i="1"/>
  <c r="K9" i="1" s="1"/>
  <c r="J8" i="1"/>
  <c r="G8" i="1"/>
  <c r="K8" i="1" s="1"/>
  <c r="J7" i="1"/>
  <c r="G7" i="1"/>
  <c r="K7" i="1" s="1"/>
  <c r="J6" i="1"/>
  <c r="G6" i="1"/>
  <c r="K6" i="1" s="1"/>
  <c r="J5" i="1"/>
  <c r="G5" i="1"/>
  <c r="K5" i="1" s="1"/>
  <c r="J4" i="1"/>
  <c r="G4" i="1"/>
  <c r="K4" i="1" s="1"/>
  <c r="N3" i="1"/>
  <c r="M3" i="1"/>
  <c r="O3" i="1" s="1"/>
  <c r="L3" i="1"/>
  <c r="J3" i="1"/>
  <c r="G3" i="1"/>
  <c r="K3" i="1" s="1"/>
  <c r="L5" i="1" l="1"/>
  <c r="M5" i="1" s="1"/>
  <c r="O5" i="1" s="1"/>
  <c r="C41" i="1" s="1"/>
  <c r="N5" i="1"/>
  <c r="B42" i="1" s="1"/>
  <c r="N4" i="1"/>
  <c r="L4" i="1"/>
  <c r="M4" i="1" s="1"/>
  <c r="O4" i="1" s="1"/>
  <c r="C40" i="1" s="1"/>
  <c r="N6" i="1"/>
  <c r="L6" i="1"/>
  <c r="M6" i="1" s="1"/>
  <c r="O6" i="1" s="1"/>
  <c r="D41" i="1" s="1"/>
  <c r="D40" i="1"/>
  <c r="B40" i="1"/>
  <c r="B41" i="1" l="1"/>
  <c r="B43" i="1"/>
  <c r="C42" i="1"/>
  <c r="E40" i="1"/>
  <c r="N7" i="1"/>
  <c r="L7" i="1"/>
  <c r="M7" i="1" s="1"/>
  <c r="O7" i="1" s="1"/>
  <c r="L8" i="1" l="1"/>
  <c r="M8" i="1" s="1"/>
  <c r="O8" i="1" s="1"/>
  <c r="N8" i="1"/>
  <c r="F40" i="1"/>
  <c r="C43" i="1"/>
  <c r="D42" i="1"/>
  <c r="E41" i="1"/>
  <c r="B44" i="1"/>
  <c r="B45" i="1" l="1"/>
  <c r="C44" i="1"/>
  <c r="D43" i="1"/>
  <c r="G40" i="1"/>
  <c r="E42" i="1"/>
  <c r="F41" i="1"/>
  <c r="L9" i="1"/>
  <c r="M9" i="1" s="1"/>
  <c r="O9" i="1" s="1"/>
  <c r="N9" i="1"/>
  <c r="B46" i="1" l="1"/>
  <c r="N10" i="1"/>
  <c r="L10" i="1"/>
  <c r="M10" i="1" s="1"/>
  <c r="O10" i="1" s="1"/>
  <c r="F42" i="1"/>
  <c r="H40" i="1"/>
  <c r="C45" i="1"/>
  <c r="E43" i="1"/>
  <c r="G41" i="1"/>
  <c r="D44" i="1"/>
  <c r="N11" i="1" l="1"/>
  <c r="L11" i="1"/>
  <c r="M11" i="1" s="1"/>
  <c r="O11" i="1" s="1"/>
  <c r="H41" i="1"/>
  <c r="C46" i="1"/>
  <c r="E44" i="1"/>
  <c r="G42" i="1"/>
  <c r="I40" i="1"/>
  <c r="F43" i="1"/>
  <c r="D45" i="1"/>
  <c r="B47" i="1"/>
  <c r="N12" i="1" l="1"/>
  <c r="L12" i="1"/>
  <c r="M12" i="1" s="1"/>
  <c r="O12" i="1" s="1"/>
  <c r="G43" i="1"/>
  <c r="I41" i="1"/>
  <c r="F44" i="1"/>
  <c r="D46" i="1"/>
  <c r="J40" i="1"/>
  <c r="H42" i="1"/>
  <c r="E45" i="1"/>
  <c r="C47" i="1"/>
  <c r="B48" i="1"/>
  <c r="B49" i="1" l="1"/>
  <c r="N13" i="1"/>
  <c r="L13" i="1"/>
  <c r="M13" i="1" s="1"/>
  <c r="O13" i="1" s="1"/>
  <c r="D47" i="1"/>
  <c r="F45" i="1"/>
  <c r="K40" i="1"/>
  <c r="Q3" i="1" s="1"/>
  <c r="H43" i="1"/>
  <c r="J41" i="1"/>
  <c r="E46" i="1"/>
  <c r="C48" i="1"/>
  <c r="I42" i="1"/>
  <c r="G44" i="1"/>
  <c r="J42" i="1" l="1"/>
  <c r="D48" i="1"/>
  <c r="C49" i="1"/>
  <c r="H44" i="1"/>
  <c r="G45" i="1"/>
  <c r="E47" i="1"/>
  <c r="I43" i="1"/>
  <c r="F46" i="1"/>
  <c r="K41" i="1"/>
  <c r="Q4" i="1" s="1"/>
  <c r="L14" i="1"/>
  <c r="M14" i="1" s="1"/>
  <c r="O14" i="1" s="1"/>
  <c r="N14" i="1"/>
  <c r="B50" i="1"/>
  <c r="G46" i="1" l="1"/>
  <c r="D49" i="1"/>
  <c r="F47" i="1"/>
  <c r="H45" i="1"/>
  <c r="J43" i="1"/>
  <c r="E48" i="1"/>
  <c r="C50" i="1"/>
  <c r="I44" i="1"/>
  <c r="K42" i="1"/>
  <c r="Q5" i="1" s="1"/>
  <c r="L15" i="1"/>
  <c r="M15" i="1" s="1"/>
  <c r="O15" i="1" s="1"/>
  <c r="N15" i="1"/>
  <c r="B51" i="1"/>
  <c r="B52" i="1" l="1"/>
  <c r="N16" i="1"/>
  <c r="L16" i="1"/>
  <c r="M16" i="1" s="1"/>
  <c r="O16" i="1" s="1"/>
  <c r="C51" i="1"/>
  <c r="H46" i="1"/>
  <c r="G47" i="1"/>
  <c r="E49" i="1"/>
  <c r="F48" i="1"/>
  <c r="K43" i="1"/>
  <c r="Q6" i="1" s="1"/>
  <c r="I45" i="1"/>
  <c r="J44" i="1"/>
  <c r="D50" i="1"/>
  <c r="B53" i="1" l="1"/>
  <c r="L17" i="1"/>
  <c r="M17" i="1" s="1"/>
  <c r="O17" i="1" s="1"/>
  <c r="N17" i="1"/>
  <c r="H47" i="1"/>
  <c r="J45" i="1"/>
  <c r="E50" i="1"/>
  <c r="C52" i="1"/>
  <c r="I46" i="1"/>
  <c r="G48" i="1"/>
  <c r="K44" i="1"/>
  <c r="Q7" i="1" s="1"/>
  <c r="F49" i="1"/>
  <c r="D51" i="1"/>
  <c r="B54" i="1" l="1"/>
  <c r="L18" i="1"/>
  <c r="M18" i="1" s="1"/>
  <c r="O18" i="1" s="1"/>
  <c r="N18" i="1"/>
  <c r="C53" i="1"/>
  <c r="H48" i="1"/>
  <c r="G49" i="1"/>
  <c r="E51" i="1"/>
  <c r="F50" i="1"/>
  <c r="K45" i="1"/>
  <c r="Q8" i="1" s="1"/>
  <c r="I47" i="1"/>
  <c r="J46" i="1"/>
  <c r="D52" i="1"/>
  <c r="H49" i="1" l="1"/>
  <c r="J47" i="1"/>
  <c r="E52" i="1"/>
  <c r="C54" i="1"/>
  <c r="I48" i="1"/>
  <c r="G50" i="1"/>
  <c r="K46" i="1"/>
  <c r="Q9" i="1" s="1"/>
  <c r="F51" i="1"/>
  <c r="D53" i="1"/>
  <c r="N19" i="1"/>
  <c r="L19" i="1"/>
  <c r="M19" i="1" s="1"/>
  <c r="O19" i="1" s="1"/>
  <c r="B55" i="1"/>
  <c r="B56" i="1" l="1"/>
  <c r="N20" i="1"/>
  <c r="L20" i="1"/>
  <c r="M20" i="1" s="1"/>
  <c r="O20" i="1" s="1"/>
  <c r="F52" i="1"/>
  <c r="K47" i="1"/>
  <c r="Q10" i="1" s="1"/>
  <c r="I49" i="1"/>
  <c r="J48" i="1"/>
  <c r="D54" i="1"/>
  <c r="C55" i="1"/>
  <c r="G51" i="1"/>
  <c r="E53" i="1"/>
  <c r="H50" i="1"/>
  <c r="H51" i="1" l="1"/>
  <c r="J49" i="1"/>
  <c r="E54" i="1"/>
  <c r="C56" i="1"/>
  <c r="G52" i="1"/>
  <c r="D55" i="1"/>
  <c r="K48" i="1"/>
  <c r="Q11" i="1" s="1"/>
  <c r="F53" i="1"/>
  <c r="I50" i="1"/>
  <c r="B57" i="1"/>
  <c r="L21" i="1"/>
  <c r="M21" i="1" s="1"/>
  <c r="O21" i="1" s="1"/>
  <c r="N21" i="1"/>
  <c r="J50" i="1" l="1"/>
  <c r="D56" i="1"/>
  <c r="C57" i="1"/>
  <c r="H52" i="1"/>
  <c r="G53" i="1"/>
  <c r="K49" i="1"/>
  <c r="Q12" i="1" s="1"/>
  <c r="I51" i="1"/>
  <c r="F54" i="1"/>
  <c r="E55" i="1"/>
  <c r="B58" i="1"/>
  <c r="L22" i="1"/>
  <c r="M22" i="1" s="1"/>
  <c r="O22" i="1" s="1"/>
  <c r="N22" i="1"/>
  <c r="B59" i="1" l="1"/>
  <c r="N23" i="1"/>
  <c r="L23" i="1"/>
  <c r="M23" i="1" s="1"/>
  <c r="O23" i="1" s="1"/>
  <c r="I52" i="1"/>
  <c r="G54" i="1"/>
  <c r="D57" i="1"/>
  <c r="K50" i="1"/>
  <c r="Q13" i="1" s="1"/>
  <c r="F55" i="1"/>
  <c r="H53" i="1"/>
  <c r="E56" i="1"/>
  <c r="C58" i="1"/>
  <c r="J51" i="1"/>
  <c r="C59" i="1" l="1"/>
  <c r="H54" i="1"/>
  <c r="G55" i="1"/>
  <c r="E57" i="1"/>
  <c r="F56" i="1"/>
  <c r="K51" i="1"/>
  <c r="Q14" i="1" s="1"/>
  <c r="I53" i="1"/>
  <c r="J52" i="1"/>
  <c r="D58" i="1"/>
  <c r="B60" i="1"/>
  <c r="L24" i="1"/>
  <c r="M24" i="1" s="1"/>
  <c r="O24" i="1" s="1"/>
  <c r="N24" i="1"/>
  <c r="B61" i="1" l="1"/>
  <c r="D59" i="1"/>
  <c r="F57" i="1"/>
  <c r="K52" i="1"/>
  <c r="Q15" i="1" s="1"/>
  <c r="H55" i="1"/>
  <c r="J53" i="1"/>
  <c r="E58" i="1"/>
  <c r="I54" i="1"/>
  <c r="G56" i="1"/>
  <c r="C60" i="1"/>
  <c r="N25" i="1"/>
  <c r="L25" i="1"/>
  <c r="M25" i="1" s="1"/>
  <c r="O25" i="1" s="1"/>
  <c r="B62" i="1" l="1"/>
  <c r="L26" i="1"/>
  <c r="M26" i="1" s="1"/>
  <c r="O26" i="1" s="1"/>
  <c r="N26" i="1"/>
  <c r="F58" i="1"/>
  <c r="K53" i="1"/>
  <c r="Q16" i="1" s="1"/>
  <c r="I55" i="1"/>
  <c r="J54" i="1"/>
  <c r="D60" i="1"/>
  <c r="C61" i="1"/>
  <c r="H56" i="1"/>
  <c r="G57" i="1"/>
  <c r="E59" i="1"/>
  <c r="B63" i="1" l="1"/>
  <c r="L27" i="1"/>
  <c r="M27" i="1" s="1"/>
  <c r="O27" i="1" s="1"/>
  <c r="N27" i="1"/>
  <c r="E60" i="1"/>
  <c r="C62" i="1"/>
  <c r="I56" i="1"/>
  <c r="G58" i="1"/>
  <c r="D61" i="1"/>
  <c r="K54" i="1"/>
  <c r="Q17" i="1" s="1"/>
  <c r="H57" i="1"/>
  <c r="J55" i="1"/>
  <c r="F59" i="1"/>
  <c r="N28" i="1" l="1"/>
  <c r="L28" i="1"/>
  <c r="M28" i="1" s="1"/>
  <c r="O28" i="1" s="1"/>
  <c r="G59" i="1"/>
  <c r="E61" i="1"/>
  <c r="F60" i="1"/>
  <c r="K55" i="1"/>
  <c r="Q18" i="1" s="1"/>
  <c r="I57" i="1"/>
  <c r="J56" i="1"/>
  <c r="D62" i="1"/>
  <c r="H58" i="1"/>
  <c r="C63" i="1"/>
  <c r="B64" i="1"/>
  <c r="E62" i="1" l="1"/>
  <c r="C64" i="1"/>
  <c r="I58" i="1"/>
  <c r="G60" i="1"/>
  <c r="D63" i="1"/>
  <c r="F61" i="1"/>
  <c r="K56" i="1"/>
  <c r="Q19" i="1" s="1"/>
  <c r="H59" i="1"/>
  <c r="J57" i="1"/>
  <c r="B65" i="1"/>
  <c r="N29" i="1"/>
  <c r="L29" i="1"/>
  <c r="M29" i="1" s="1"/>
  <c r="O29" i="1" s="1"/>
  <c r="B66" i="1" l="1"/>
  <c r="J58" i="1"/>
  <c r="D64" i="1"/>
  <c r="G61" i="1"/>
  <c r="H60" i="1"/>
  <c r="K57" i="1"/>
  <c r="Q20" i="1" s="1"/>
  <c r="E63" i="1"/>
  <c r="C65" i="1"/>
  <c r="F62" i="1"/>
  <c r="I59" i="1"/>
  <c r="L30" i="1"/>
  <c r="M30" i="1" s="1"/>
  <c r="O30" i="1" s="1"/>
  <c r="N30" i="1"/>
  <c r="L31" i="1" l="1"/>
  <c r="M31" i="1" s="1"/>
  <c r="O31" i="1" s="1"/>
  <c r="N31" i="1"/>
  <c r="H61" i="1"/>
  <c r="C66" i="1"/>
  <c r="K58" i="1"/>
  <c r="Q21" i="1" s="1"/>
  <c r="D65" i="1"/>
  <c r="F63" i="1"/>
  <c r="E64" i="1"/>
  <c r="J59" i="1"/>
  <c r="I60" i="1"/>
  <c r="G62" i="1"/>
  <c r="B67" i="1"/>
  <c r="B68" i="1" l="1"/>
  <c r="L32" i="1"/>
  <c r="M32" i="1" s="1"/>
  <c r="O32" i="1" s="1"/>
  <c r="N32" i="1"/>
  <c r="D66" i="1"/>
  <c r="H62" i="1"/>
  <c r="E65" i="1"/>
  <c r="G63" i="1"/>
  <c r="C67" i="1"/>
  <c r="F64" i="1"/>
  <c r="K59" i="1"/>
  <c r="Q22" i="1" s="1"/>
  <c r="I61" i="1"/>
  <c r="J60" i="1"/>
  <c r="B69" i="1" l="1"/>
  <c r="E66" i="1"/>
  <c r="D67" i="1"/>
  <c r="K60" i="1"/>
  <c r="Q23" i="1" s="1"/>
  <c r="H63" i="1"/>
  <c r="J61" i="1"/>
  <c r="C68" i="1"/>
  <c r="F65" i="1"/>
  <c r="G64" i="1"/>
  <c r="I62" i="1"/>
  <c r="N33" i="1"/>
  <c r="L33" i="1"/>
  <c r="M33" i="1" s="1"/>
  <c r="O33" i="1" s="1"/>
  <c r="J62" i="1" l="1"/>
  <c r="H64" i="1"/>
  <c r="E67" i="1"/>
  <c r="F66" i="1"/>
  <c r="K61" i="1"/>
  <c r="Q24" i="1" s="1"/>
  <c r="D68" i="1"/>
  <c r="G65" i="1"/>
  <c r="C69" i="1"/>
  <c r="I63" i="1"/>
  <c r="B70" i="1"/>
  <c r="N34" i="1"/>
  <c r="L34" i="1"/>
  <c r="M34" i="1" s="1"/>
  <c r="O34" i="1" s="1"/>
  <c r="N35" i="1" l="1"/>
  <c r="L35" i="1"/>
  <c r="M35" i="1" s="1"/>
  <c r="O35" i="1" s="1"/>
  <c r="B71" i="1"/>
  <c r="F67" i="1"/>
  <c r="G66" i="1"/>
  <c r="K62" i="1"/>
  <c r="Q25" i="1" s="1"/>
  <c r="H65" i="1"/>
  <c r="J63" i="1"/>
  <c r="D69" i="1"/>
  <c r="C70" i="1"/>
  <c r="E68" i="1"/>
  <c r="I64" i="1"/>
  <c r="H66" i="1" l="1"/>
  <c r="D70" i="1"/>
  <c r="I65" i="1"/>
  <c r="K63" i="1"/>
  <c r="Q26" i="1" s="1"/>
  <c r="G67" i="1"/>
  <c r="J64" i="1"/>
  <c r="E69" i="1"/>
  <c r="C71" i="1"/>
  <c r="F68" i="1"/>
  <c r="B72" i="1"/>
</calcChain>
</file>

<file path=xl/sharedStrings.xml><?xml version="1.0" encoding="utf-8"?>
<sst xmlns="http://schemas.openxmlformats.org/spreadsheetml/2006/main" count="37" uniqueCount="37">
  <si>
    <t>CMHC Rents (occupied units average)</t>
  </si>
  <si>
    <t>80% LTV</t>
  </si>
  <si>
    <t>Year</t>
  </si>
  <si>
    <t>Condo Average Price</t>
  </si>
  <si>
    <t>Studio units</t>
  </si>
  <si>
    <t>One bed units</t>
  </si>
  <si>
    <t>Two bed units</t>
  </si>
  <si>
    <t>Three bed units</t>
  </si>
  <si>
    <t>Adjusted Rent</t>
  </si>
  <si>
    <t>Vacancy Rate</t>
  </si>
  <si>
    <t>Avg 5 Yr. Mortgage Rate</t>
  </si>
  <si>
    <t>Estimated contract rates</t>
  </si>
  <si>
    <t>Annual Rent net vacancy and credit loss</t>
  </si>
  <si>
    <t>Expenses</t>
  </si>
  <si>
    <t>NOI</t>
  </si>
  <si>
    <t>Purchase</t>
  </si>
  <si>
    <t>Operating</t>
  </si>
  <si>
    <t>Net selling proceeds</t>
  </si>
  <si>
    <t>IRR (10 year)</t>
  </si>
  <si>
    <t>Condo Sales Mix 2010-2020</t>
  </si>
  <si>
    <t>Bachelor</t>
  </si>
  <si>
    <t>1Bed</t>
  </si>
  <si>
    <t>2Bed</t>
  </si>
  <si>
    <t>3Bed</t>
  </si>
  <si>
    <t>Vacancy Premium</t>
  </si>
  <si>
    <t>Credit loss</t>
  </si>
  <si>
    <t>Strata as %</t>
  </si>
  <si>
    <t>Taxes as %</t>
  </si>
  <si>
    <t>Maintenance as %</t>
  </si>
  <si>
    <t>Insurance as %</t>
  </si>
  <si>
    <t>Purchase costs as %</t>
  </si>
  <si>
    <t>Selling costs first $100k</t>
  </si>
  <si>
    <t>Selling costs remainder</t>
  </si>
  <si>
    <t>Opportunity cost</t>
  </si>
  <si>
    <t>Cash Flows</t>
  </si>
  <si>
    <t>Year held</t>
  </si>
  <si>
    <t>Purchase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</si>
</sst>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"/>
    <numFmt numFmtId="165" formatCode="[$$]#,##0"/>
    <numFmt numFmtId="166" formatCode="[$$-1009]#,##0.00;[Red]\-[$$-1009]#,##0.00"/>
    <numFmt numFmtId="167" formatCode="[$$-1009]#,##0;[Red]\-[$$-1009]#,##0"/>
  </numFmts>
  <fonts count="5"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164" fontId="2" fillId="0" borderId="0" xfId="0" applyNumberFormat="1" applyFont="1" applyAlignment="1"/>
    <xf numFmtId="165" fontId="3" fillId="0" borderId="0" xfId="0" applyNumberFormat="1" applyFont="1" applyAlignment="1"/>
    <xf numFmtId="0" fontId="0" fillId="0" borderId="0" xfId="0" applyFont="1" applyAlignment="1">
      <alignment wrapText="1"/>
    </xf>
    <xf numFmtId="166" fontId="0" fillId="0" borderId="0" xfId="0" applyNumberFormat="1"/>
    <xf numFmtId="2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65" fontId="0" fillId="0" borderId="0" xfId="0" applyNumberFormat="1"/>
    <xf numFmtId="2" fontId="0" fillId="0" borderId="0" xfId="0" applyNumberFormat="1"/>
    <xf numFmtId="165" fontId="4" fillId="0" borderId="0" xfId="0" applyNumberFormat="1" applyFont="1" applyAlignment="1"/>
    <xf numFmtId="2" fontId="3" fillId="0" borderId="0" xfId="0" applyNumberFormat="1" applyFont="1" applyAlignment="1"/>
    <xf numFmtId="165" fontId="4" fillId="0" borderId="0" xfId="0" applyNumberFormat="1" applyFont="1" applyBorder="1" applyAlignment="1"/>
    <xf numFmtId="0" fontId="0" fillId="2" borderId="0" xfId="0" applyFill="1"/>
    <xf numFmtId="0" fontId="3" fillId="0" borderId="0" xfId="0" applyFont="1" applyAlignment="1"/>
    <xf numFmtId="10" fontId="3" fillId="0" borderId="0" xfId="0" applyNumberFormat="1" applyFont="1" applyAlignment="1"/>
    <xf numFmtId="0" fontId="1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CA" sz="1300" b="0" strike="noStrike" spc="-1">
                <a:latin typeface="Arial"/>
              </a:rPr>
              <a:t>Condo Rental Annualized Returns (IRR) in Victoria
10 year holding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Condo!$Q$2:$Q$2</c:f>
              <c:strCache>
                <c:ptCount val="1"/>
                <c:pt idx="0">
                  <c:v>IRR (10 year)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Condo!$A$3:$A$26</c:f>
              <c:numCache>
                <c:formatCode>yyyy</c:formatCode>
                <c:ptCount val="24"/>
                <c:pt idx="0">
                  <c:v>32143</c:v>
                </c:pt>
                <c:pt idx="1">
                  <c:v>32509</c:v>
                </c:pt>
                <c:pt idx="2">
                  <c:v>32874</c:v>
                </c:pt>
                <c:pt idx="3">
                  <c:v>33239</c:v>
                </c:pt>
                <c:pt idx="4">
                  <c:v>33604</c:v>
                </c:pt>
                <c:pt idx="5">
                  <c:v>33970</c:v>
                </c:pt>
                <c:pt idx="6">
                  <c:v>34335</c:v>
                </c:pt>
                <c:pt idx="7">
                  <c:v>34700</c:v>
                </c:pt>
                <c:pt idx="8">
                  <c:v>35065</c:v>
                </c:pt>
                <c:pt idx="9">
                  <c:v>35431</c:v>
                </c:pt>
                <c:pt idx="10">
                  <c:v>35796</c:v>
                </c:pt>
                <c:pt idx="11">
                  <c:v>36161</c:v>
                </c:pt>
                <c:pt idx="12">
                  <c:v>36526</c:v>
                </c:pt>
                <c:pt idx="13">
                  <c:v>36892</c:v>
                </c:pt>
                <c:pt idx="14">
                  <c:v>37257</c:v>
                </c:pt>
                <c:pt idx="15">
                  <c:v>37622</c:v>
                </c:pt>
                <c:pt idx="16">
                  <c:v>37987</c:v>
                </c:pt>
                <c:pt idx="17">
                  <c:v>38353</c:v>
                </c:pt>
                <c:pt idx="18">
                  <c:v>38718</c:v>
                </c:pt>
                <c:pt idx="19">
                  <c:v>39083</c:v>
                </c:pt>
                <c:pt idx="20">
                  <c:v>39448</c:v>
                </c:pt>
                <c:pt idx="21">
                  <c:v>39814</c:v>
                </c:pt>
                <c:pt idx="22">
                  <c:v>40179</c:v>
                </c:pt>
                <c:pt idx="23">
                  <c:v>40544</c:v>
                </c:pt>
              </c:numCache>
            </c:numRef>
          </c:cat>
          <c:val>
            <c:numRef>
              <c:f>Condo!$Q$3:$Q$26</c:f>
              <c:numCache>
                <c:formatCode>0.00%</c:formatCode>
                <c:ptCount val="24"/>
                <c:pt idx="0">
                  <c:v>0.1374531456523771</c:v>
                </c:pt>
                <c:pt idx="1">
                  <c:v>5.2472364417395223E-2</c:v>
                </c:pt>
                <c:pt idx="2">
                  <c:v>6.7477897859555824E-3</c:v>
                </c:pt>
                <c:pt idx="3">
                  <c:v>1.5382189692148884E-2</c:v>
                </c:pt>
                <c:pt idx="4">
                  <c:v>-1.8738410388925431E-2</c:v>
                </c:pt>
                <c:pt idx="5">
                  <c:v>6.8140752547882766E-3</c:v>
                </c:pt>
                <c:pt idx="6">
                  <c:v>3.7490189370788185E-2</c:v>
                </c:pt>
                <c:pt idx="7">
                  <c:v>8.6946464736449514E-2</c:v>
                </c:pt>
                <c:pt idx="8">
                  <c:v>0.15621876696931403</c:v>
                </c:pt>
                <c:pt idx="9">
                  <c:v>0.19577420339789797</c:v>
                </c:pt>
                <c:pt idx="10">
                  <c:v>0.21793919703321585</c:v>
                </c:pt>
                <c:pt idx="11">
                  <c:v>0.22068124715963267</c:v>
                </c:pt>
                <c:pt idx="12">
                  <c:v>0.21809102237502564</c:v>
                </c:pt>
                <c:pt idx="13">
                  <c:v>0.2551284938434859</c:v>
                </c:pt>
                <c:pt idx="14">
                  <c:v>0.23337324477457044</c:v>
                </c:pt>
                <c:pt idx="15">
                  <c:v>0.17582059509271142</c:v>
                </c:pt>
                <c:pt idx="16">
                  <c:v>0.13361139113619847</c:v>
                </c:pt>
                <c:pt idx="17">
                  <c:v>0.1123137255450144</c:v>
                </c:pt>
                <c:pt idx="18">
                  <c:v>6.8825737516456709E-2</c:v>
                </c:pt>
                <c:pt idx="19">
                  <c:v>5.4911767071097906E-2</c:v>
                </c:pt>
                <c:pt idx="20">
                  <c:v>9.5754409201722401E-2</c:v>
                </c:pt>
                <c:pt idx="21">
                  <c:v>0.15532279691542117</c:v>
                </c:pt>
                <c:pt idx="22">
                  <c:v>0.1506391227769206</c:v>
                </c:pt>
                <c:pt idx="23">
                  <c:v>0.16269148836629332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5-4916-8259-E46543BC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39070"/>
        <c:axId val="79706802"/>
      </c:barChart>
      <c:dateAx>
        <c:axId val="9763907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CA" sz="900" b="0" strike="noStrike" spc="-1">
                    <a:latin typeface="Arial"/>
                  </a:rPr>
                  <a:t>Year of purchase</a:t>
                </a:r>
              </a:p>
            </c:rich>
          </c:tx>
          <c:layout/>
          <c:overlay val="0"/>
          <c:spPr>
            <a:noFill/>
            <a:ln w="0">
              <a:noFill/>
            </a:ln>
          </c:spPr>
        </c:title>
        <c:numFmt formatCode="yyyy" sourceLinked="1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 rot="-2700000"/>
          <a:lstStyle/>
          <a:p>
            <a:pPr>
              <a:defRPr sz="900" b="0" strike="noStrike" spc="-1">
                <a:latin typeface="Arial"/>
              </a:defRPr>
            </a:pPr>
            <a:endParaRPr lang="en-US"/>
          </a:p>
        </c:txPr>
        <c:crossAx val="79706802"/>
        <c:crossesAt val="0"/>
        <c:auto val="1"/>
        <c:lblOffset val="100"/>
        <c:baseTimeUnit val="years"/>
      </c:dateAx>
      <c:valAx>
        <c:axId val="7970680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97639070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152280</xdr:colOff>
      <xdr:row>37</xdr:row>
      <xdr:rowOff>0</xdr:rowOff>
    </xdr:from>
    <xdr:to>
      <xdr:col>19</xdr:col>
      <xdr:colOff>491760</xdr:colOff>
      <xdr:row>59</xdr:row>
      <xdr:rowOff>28080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zoomScaleNormal="100" workbookViewId="0">
      <selection activeCell="D9" sqref="D9"/>
    </sheetView>
  </sheetViews>
  <sheetFormatPr defaultColWidth="11.5703125" defaultRowHeight="12.75"/>
  <cols>
    <col min="1" max="1" width="14.42578125" customWidth="1"/>
    <col min="2" max="2" width="8.5703125" customWidth="1"/>
    <col min="3" max="3" width="7.5703125" customWidth="1"/>
    <col min="4" max="6" width="9.7109375" customWidth="1"/>
    <col min="7" max="7" width="9.140625" customWidth="1"/>
    <col min="9" max="9" width="12.7109375" customWidth="1"/>
    <col min="10" max="10" width="10" style="4" customWidth="1"/>
    <col min="11" max="11" width="12.7109375" customWidth="1"/>
    <col min="16" max="17" width="17" customWidth="1"/>
    <col min="18" max="18" width="13" customWidth="1"/>
  </cols>
  <sheetData>
    <row r="1" spans="1:26" ht="23.85" customHeight="1">
      <c r="C1" s="3" t="s">
        <v>0</v>
      </c>
      <c r="D1" s="3"/>
      <c r="E1" s="3"/>
      <c r="F1" s="3"/>
      <c r="N1" s="2" t="s">
        <v>1</v>
      </c>
      <c r="O1" s="2"/>
      <c r="P1" s="2"/>
      <c r="Q1" s="2"/>
    </row>
    <row r="2" spans="1:26" ht="5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7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5" t="s">
        <v>18</v>
      </c>
    </row>
    <row r="3" spans="1:26" ht="15">
      <c r="A3" s="8">
        <v>32143</v>
      </c>
      <c r="B3" s="9">
        <v>89136</v>
      </c>
      <c r="C3" s="10">
        <v>329</v>
      </c>
      <c r="D3" s="10">
        <v>399</v>
      </c>
      <c r="E3" s="10">
        <v>518</v>
      </c>
      <c r="F3" s="10">
        <v>545</v>
      </c>
      <c r="G3" s="11">
        <f t="shared" ref="G3:G35" si="0">C3*$W$6+D3*$X$6+E3*$Y$6+F3*$Z$6</f>
        <v>480.54057032861294</v>
      </c>
      <c r="H3" s="10">
        <v>0.3</v>
      </c>
      <c r="I3" s="12">
        <v>11.6</v>
      </c>
      <c r="J3" s="13">
        <f t="shared" ref="J3:J35" si="1">(I3/100-0.01)</f>
        <v>0.106</v>
      </c>
      <c r="K3" s="11">
        <f t="shared" ref="K3:K35" si="2">(G3*12)*(1+$X$8)*(1-H3/100-$X$9)</f>
        <v>6165.5277335442361</v>
      </c>
      <c r="L3" s="14">
        <f>B3*SUM($X$10:X$13)</f>
        <v>1515.3120000000001</v>
      </c>
      <c r="M3" s="14">
        <f t="shared" ref="M3:M35" si="3">K3-L3</f>
        <v>4650.2157335442362</v>
      </c>
      <c r="N3" s="11">
        <f t="shared" ref="N3:N35" si="4">-(B3*0.2+(B3*$X$14))</f>
        <v>-19609.920000000002</v>
      </c>
      <c r="O3" s="14">
        <f t="shared" ref="O3:O35" si="5">M3</f>
        <v>4650.2157335442362</v>
      </c>
      <c r="P3" s="14"/>
      <c r="Q3" s="4">
        <f t="shared" ref="Q3:Q26" si="6">MIRR(B40:K40, $X$17, $X$17)</f>
        <v>0.1374531456523771</v>
      </c>
    </row>
    <row r="4" spans="1:26" ht="15">
      <c r="A4" s="8">
        <v>32509</v>
      </c>
      <c r="B4" s="9">
        <v>112307</v>
      </c>
      <c r="C4" s="10">
        <v>350</v>
      </c>
      <c r="D4" s="10">
        <v>440</v>
      </c>
      <c r="E4" s="10">
        <v>568</v>
      </c>
      <c r="F4" s="10">
        <v>647</v>
      </c>
      <c r="G4" s="11">
        <f t="shared" si="0"/>
        <v>528.62868737831434</v>
      </c>
      <c r="H4" s="10">
        <v>0.2</v>
      </c>
      <c r="I4" s="12">
        <v>12.05</v>
      </c>
      <c r="J4" s="13">
        <f t="shared" si="1"/>
        <v>0.11050000000000001</v>
      </c>
      <c r="K4" s="11">
        <f t="shared" si="2"/>
        <v>6789.4954092121188</v>
      </c>
      <c r="L4" s="14">
        <f>B4*SUM($X$10:X$13)</f>
        <v>1909.2190000000001</v>
      </c>
      <c r="M4" s="14">
        <f t="shared" si="3"/>
        <v>4880.2764092121188</v>
      </c>
      <c r="N4" s="11">
        <f t="shared" si="4"/>
        <v>-24707.54</v>
      </c>
      <c r="O4" s="14">
        <f t="shared" si="5"/>
        <v>4880.2764092121188</v>
      </c>
      <c r="P4" s="14"/>
      <c r="Q4" s="4">
        <f t="shared" si="6"/>
        <v>5.2472364417395223E-2</v>
      </c>
      <c r="W4" t="s">
        <v>19</v>
      </c>
    </row>
    <row r="5" spans="1:26" ht="15">
      <c r="A5" s="8">
        <v>32874</v>
      </c>
      <c r="B5" s="9">
        <v>121264</v>
      </c>
      <c r="C5" s="10">
        <v>393</v>
      </c>
      <c r="D5" s="10">
        <v>488</v>
      </c>
      <c r="E5" s="10">
        <v>615</v>
      </c>
      <c r="F5" s="10">
        <v>736</v>
      </c>
      <c r="G5" s="11">
        <f t="shared" si="0"/>
        <v>576.85144922195207</v>
      </c>
      <c r="H5" s="10">
        <v>0.3</v>
      </c>
      <c r="I5" s="12">
        <v>13.24</v>
      </c>
      <c r="J5" s="13">
        <f t="shared" si="1"/>
        <v>0.12239999999999999</v>
      </c>
      <c r="K5" s="11">
        <f t="shared" si="2"/>
        <v>7401.234834097334</v>
      </c>
      <c r="L5" s="14">
        <f>B5*SUM($X$10:X$13)</f>
        <v>2061.4880000000003</v>
      </c>
      <c r="M5" s="14">
        <f t="shared" si="3"/>
        <v>5339.7468340973337</v>
      </c>
      <c r="N5" s="11">
        <f t="shared" si="4"/>
        <v>-26678.080000000002</v>
      </c>
      <c r="O5" s="14">
        <f t="shared" si="5"/>
        <v>5339.7468340973337</v>
      </c>
      <c r="P5" s="14"/>
      <c r="Q5" s="4">
        <f t="shared" si="6"/>
        <v>6.7477897859555824E-3</v>
      </c>
      <c r="W5" t="s">
        <v>20</v>
      </c>
      <c r="X5" t="s">
        <v>21</v>
      </c>
      <c r="Y5" t="s">
        <v>22</v>
      </c>
      <c r="Z5" t="s">
        <v>23</v>
      </c>
    </row>
    <row r="6" spans="1:26" ht="15">
      <c r="A6" s="8">
        <v>33239</v>
      </c>
      <c r="B6" s="9">
        <v>125366</v>
      </c>
      <c r="C6" s="10">
        <v>420</v>
      </c>
      <c r="D6" s="10">
        <v>525</v>
      </c>
      <c r="E6" s="10">
        <v>666</v>
      </c>
      <c r="F6" s="10">
        <v>710</v>
      </c>
      <c r="G6" s="11">
        <f t="shared" si="0"/>
        <v>621.46246065319781</v>
      </c>
      <c r="H6" s="10">
        <v>0.8</v>
      </c>
      <c r="I6" s="12">
        <v>11.16</v>
      </c>
      <c r="J6" s="13">
        <f t="shared" si="1"/>
        <v>0.10160000000000001</v>
      </c>
      <c r="K6" s="11">
        <f t="shared" si="2"/>
        <v>7932.5954327616782</v>
      </c>
      <c r="L6" s="14">
        <f>B6*SUM($X$10:X$13)</f>
        <v>2131.2220000000002</v>
      </c>
      <c r="M6" s="14">
        <f t="shared" si="3"/>
        <v>5801.3734327616785</v>
      </c>
      <c r="N6" s="11">
        <f t="shared" si="4"/>
        <v>-27580.52</v>
      </c>
      <c r="O6" s="14">
        <f t="shared" si="5"/>
        <v>5801.3734327616785</v>
      </c>
      <c r="P6" s="14"/>
      <c r="Q6" s="4">
        <f t="shared" si="6"/>
        <v>1.5382189692148884E-2</v>
      </c>
      <c r="W6" s="4">
        <v>1.9810870870840401E-2</v>
      </c>
      <c r="X6" s="4">
        <v>0.288195852990206</v>
      </c>
      <c r="Y6" s="4">
        <v>0.66754389525268099</v>
      </c>
      <c r="Z6" s="4">
        <v>2.4302588491973399E-2</v>
      </c>
    </row>
    <row r="7" spans="1:26" ht="15">
      <c r="A7" s="8">
        <v>33604</v>
      </c>
      <c r="B7" s="9">
        <v>143132</v>
      </c>
      <c r="C7" s="10">
        <v>439</v>
      </c>
      <c r="D7" s="10">
        <v>544</v>
      </c>
      <c r="E7" s="10">
        <v>684</v>
      </c>
      <c r="F7" s="10">
        <v>777</v>
      </c>
      <c r="G7" s="11">
        <f t="shared" si="0"/>
        <v>640.95865195006809</v>
      </c>
      <c r="H7" s="10">
        <v>1.5</v>
      </c>
      <c r="I7" s="12">
        <v>9.52</v>
      </c>
      <c r="J7" s="13">
        <f t="shared" si="1"/>
        <v>8.5199999999999998E-2</v>
      </c>
      <c r="K7" s="11">
        <f t="shared" si="2"/>
        <v>8122.2280375112623</v>
      </c>
      <c r="L7" s="14">
        <f>B7*SUM($X$10:X$13)</f>
        <v>2433.2440000000001</v>
      </c>
      <c r="M7" s="14">
        <f t="shared" si="3"/>
        <v>5688.9840375112617</v>
      </c>
      <c r="N7" s="11">
        <f t="shared" si="4"/>
        <v>-31489.040000000001</v>
      </c>
      <c r="O7" s="14">
        <f t="shared" si="5"/>
        <v>5688.9840375112617</v>
      </c>
      <c r="P7" s="14"/>
      <c r="Q7" s="4">
        <f t="shared" si="6"/>
        <v>-1.8738410388925431E-2</v>
      </c>
    </row>
    <row r="8" spans="1:26" ht="15">
      <c r="A8" s="8">
        <v>33970</v>
      </c>
      <c r="B8" s="9">
        <v>150731</v>
      </c>
      <c r="C8" s="10">
        <v>451</v>
      </c>
      <c r="D8" s="10">
        <v>560</v>
      </c>
      <c r="E8" s="10">
        <v>704</v>
      </c>
      <c r="F8" s="10">
        <v>793</v>
      </c>
      <c r="G8" s="11">
        <f t="shared" si="0"/>
        <v>659.5472353692868</v>
      </c>
      <c r="H8" s="10">
        <v>1.8</v>
      </c>
      <c r="I8" s="12">
        <v>8.6999999999999993</v>
      </c>
      <c r="J8" s="13">
        <f t="shared" si="1"/>
        <v>7.6999999999999999E-2</v>
      </c>
      <c r="K8" s="11">
        <f t="shared" si="2"/>
        <v>8331.6644960789781</v>
      </c>
      <c r="L8" s="14">
        <f>B8*SUM($X$10:X$13)</f>
        <v>2562.4270000000001</v>
      </c>
      <c r="M8" s="14">
        <f t="shared" si="3"/>
        <v>5769.2374960789784</v>
      </c>
      <c r="N8" s="11">
        <f t="shared" si="4"/>
        <v>-33160.82</v>
      </c>
      <c r="O8" s="14">
        <f t="shared" si="5"/>
        <v>5769.2374960789784</v>
      </c>
      <c r="P8" s="14"/>
      <c r="Q8" s="4">
        <f t="shared" si="6"/>
        <v>6.8140752547882766E-3</v>
      </c>
      <c r="W8" t="s">
        <v>24</v>
      </c>
      <c r="X8" s="4">
        <v>0.1</v>
      </c>
    </row>
    <row r="9" spans="1:26" ht="15">
      <c r="A9" s="8">
        <v>34335</v>
      </c>
      <c r="B9" s="9">
        <v>156047</v>
      </c>
      <c r="C9" s="10">
        <v>461</v>
      </c>
      <c r="D9" s="10">
        <v>569</v>
      </c>
      <c r="E9" s="10">
        <v>712</v>
      </c>
      <c r="F9" s="10">
        <v>799</v>
      </c>
      <c r="G9" s="11">
        <f t="shared" si="0"/>
        <v>667.82527344788025</v>
      </c>
      <c r="H9" s="10">
        <v>1.9</v>
      </c>
      <c r="I9" s="12">
        <v>9.34</v>
      </c>
      <c r="J9" s="13">
        <f t="shared" si="1"/>
        <v>8.3400000000000002E-2</v>
      </c>
      <c r="K9" s="11">
        <f t="shared" si="2"/>
        <v>8427.4206906934905</v>
      </c>
      <c r="L9" s="14">
        <f>B9*SUM($X$10:X$13)</f>
        <v>2652.799</v>
      </c>
      <c r="M9" s="14">
        <f t="shared" si="3"/>
        <v>5774.6216906934906</v>
      </c>
      <c r="N9" s="11">
        <f t="shared" si="4"/>
        <v>-34330.340000000004</v>
      </c>
      <c r="O9" s="14">
        <f t="shared" si="5"/>
        <v>5774.6216906934906</v>
      </c>
      <c r="P9" s="14"/>
      <c r="Q9" s="4">
        <f t="shared" si="6"/>
        <v>3.7490189370788185E-2</v>
      </c>
      <c r="W9" t="s">
        <v>25</v>
      </c>
      <c r="X9" s="4">
        <v>2.5000000000000001E-2</v>
      </c>
    </row>
    <row r="10" spans="1:26" ht="15">
      <c r="A10" s="8">
        <v>34700</v>
      </c>
      <c r="B10" s="9">
        <v>150812</v>
      </c>
      <c r="C10" s="10">
        <v>468</v>
      </c>
      <c r="D10" s="10">
        <v>568</v>
      </c>
      <c r="E10" s="10">
        <v>716</v>
      </c>
      <c r="F10" s="10">
        <v>806</v>
      </c>
      <c r="G10" s="11">
        <f t="shared" si="0"/>
        <v>670.51604739144045</v>
      </c>
      <c r="H10" s="10">
        <v>3.5</v>
      </c>
      <c r="I10" s="12">
        <v>9.2200000000000006</v>
      </c>
      <c r="J10" s="13">
        <f t="shared" si="1"/>
        <v>8.2200000000000009E-2</v>
      </c>
      <c r="K10" s="11">
        <f t="shared" si="2"/>
        <v>8319.7631160329929</v>
      </c>
      <c r="L10" s="14">
        <f>B10*SUM($X$10:X$13)</f>
        <v>2563.8040000000001</v>
      </c>
      <c r="M10" s="14">
        <f t="shared" si="3"/>
        <v>5755.9591160329928</v>
      </c>
      <c r="N10" s="11">
        <f t="shared" si="4"/>
        <v>-33178.639999999999</v>
      </c>
      <c r="O10" s="14">
        <f t="shared" si="5"/>
        <v>5755.9591160329928</v>
      </c>
      <c r="P10" s="14"/>
      <c r="Q10" s="4">
        <f t="shared" si="6"/>
        <v>8.6946464736449514E-2</v>
      </c>
      <c r="W10" t="s">
        <v>26</v>
      </c>
      <c r="X10" s="4">
        <v>0.01</v>
      </c>
    </row>
    <row r="11" spans="1:26" ht="15">
      <c r="A11" s="8">
        <v>35065</v>
      </c>
      <c r="B11" s="9">
        <v>148051</v>
      </c>
      <c r="C11" s="10">
        <v>468</v>
      </c>
      <c r="D11" s="10">
        <v>570</v>
      </c>
      <c r="E11" s="10">
        <v>716</v>
      </c>
      <c r="F11" s="10">
        <v>802</v>
      </c>
      <c r="G11" s="11">
        <f t="shared" si="0"/>
        <v>670.99522874345291</v>
      </c>
      <c r="H11" s="10">
        <v>4.3</v>
      </c>
      <c r="I11" s="12">
        <v>7.94</v>
      </c>
      <c r="J11" s="13">
        <f t="shared" si="1"/>
        <v>6.9400000000000003E-2</v>
      </c>
      <c r="K11" s="11">
        <f t="shared" si="2"/>
        <v>8254.8517020934542</v>
      </c>
      <c r="L11" s="14">
        <f>B11*SUM($X$10:X$13)</f>
        <v>2516.8670000000002</v>
      </c>
      <c r="M11" s="14">
        <f t="shared" si="3"/>
        <v>5737.984702093454</v>
      </c>
      <c r="N11" s="11">
        <f t="shared" si="4"/>
        <v>-32571.22</v>
      </c>
      <c r="O11" s="14">
        <f t="shared" si="5"/>
        <v>5737.984702093454</v>
      </c>
      <c r="P11" s="14"/>
      <c r="Q11" s="4">
        <f t="shared" si="6"/>
        <v>0.15621876696931403</v>
      </c>
      <c r="W11" t="s">
        <v>27</v>
      </c>
      <c r="X11" s="4">
        <v>5.0000000000000001E-3</v>
      </c>
    </row>
    <row r="12" spans="1:26" ht="15">
      <c r="A12" s="8">
        <v>35431</v>
      </c>
      <c r="B12" s="9">
        <v>151361</v>
      </c>
      <c r="C12" s="10">
        <v>466</v>
      </c>
      <c r="D12" s="10">
        <v>571</v>
      </c>
      <c r="E12" s="10">
        <v>722</v>
      </c>
      <c r="F12" s="10">
        <v>818</v>
      </c>
      <c r="G12" s="11">
        <f t="shared" si="0"/>
        <v>675.6379076420892</v>
      </c>
      <c r="H12" s="10">
        <v>3.5</v>
      </c>
      <c r="I12" s="12">
        <v>7.07</v>
      </c>
      <c r="J12" s="13">
        <f t="shared" si="1"/>
        <v>6.0699999999999997E-2</v>
      </c>
      <c r="K12" s="11">
        <f t="shared" si="2"/>
        <v>8383.3151580230424</v>
      </c>
      <c r="L12" s="14">
        <f>B12*SUM($X$10:X$13)</f>
        <v>2573.1370000000002</v>
      </c>
      <c r="M12" s="14">
        <f t="shared" si="3"/>
        <v>5810.1781580230418</v>
      </c>
      <c r="N12" s="11">
        <f t="shared" si="4"/>
        <v>-33299.42</v>
      </c>
      <c r="O12" s="14">
        <f t="shared" si="5"/>
        <v>5810.1781580230418</v>
      </c>
      <c r="P12" s="14">
        <f t="shared" ref="P12:P35" si="7">B12-(((MIN(B12,100000)*$X$15)+(MAX(0, B12-100000)*$X$16)))-(B3*0.8+CUMPRINC(J3/12, 300, B3*0.8, 1, 120, 1))</f>
        <v>83327.173768942986</v>
      </c>
      <c r="Q12" s="4">
        <f t="shared" si="6"/>
        <v>0.19577420339789797</v>
      </c>
      <c r="W12" t="s">
        <v>28</v>
      </c>
      <c r="X12" s="4">
        <v>1E-3</v>
      </c>
    </row>
    <row r="13" spans="1:26" ht="15">
      <c r="A13" s="8">
        <v>35796</v>
      </c>
      <c r="B13" s="9">
        <v>154529</v>
      </c>
      <c r="C13" s="10">
        <v>465</v>
      </c>
      <c r="D13" s="10">
        <v>570</v>
      </c>
      <c r="E13" s="10">
        <v>721</v>
      </c>
      <c r="F13" s="10">
        <v>817</v>
      </c>
      <c r="G13" s="11">
        <f t="shared" si="0"/>
        <v>674.63805443448348</v>
      </c>
      <c r="H13" s="10">
        <v>3.8</v>
      </c>
      <c r="I13" s="12">
        <v>6.9</v>
      </c>
      <c r="J13" s="13">
        <f t="shared" si="1"/>
        <v>5.9000000000000004E-2</v>
      </c>
      <c r="K13" s="11">
        <f t="shared" si="2"/>
        <v>8344.193312467467</v>
      </c>
      <c r="L13" s="14">
        <f>B13*SUM($X$10:X$13)</f>
        <v>2626.9930000000004</v>
      </c>
      <c r="M13" s="14">
        <f t="shared" si="3"/>
        <v>5717.2003124674666</v>
      </c>
      <c r="N13" s="11">
        <f t="shared" si="4"/>
        <v>-33996.380000000005</v>
      </c>
      <c r="O13" s="14">
        <f t="shared" si="5"/>
        <v>5717.2003124674666</v>
      </c>
      <c r="P13" s="14">
        <f t="shared" si="7"/>
        <v>70053.257766739742</v>
      </c>
      <c r="Q13" s="4">
        <f t="shared" si="6"/>
        <v>0.21793919703321585</v>
      </c>
      <c r="W13" t="s">
        <v>29</v>
      </c>
      <c r="X13" s="4">
        <v>1E-3</v>
      </c>
    </row>
    <row r="14" spans="1:26" ht="15">
      <c r="A14" s="8">
        <v>36161</v>
      </c>
      <c r="B14" s="9">
        <v>150356</v>
      </c>
      <c r="C14" s="10">
        <v>468</v>
      </c>
      <c r="D14" s="10">
        <v>576</v>
      </c>
      <c r="E14" s="10">
        <v>727</v>
      </c>
      <c r="F14" s="10">
        <v>818</v>
      </c>
      <c r="G14" s="11">
        <f t="shared" si="0"/>
        <v>680.4562281250453</v>
      </c>
      <c r="H14" s="10">
        <v>3.6</v>
      </c>
      <c r="I14" s="12">
        <v>7.39</v>
      </c>
      <c r="J14" s="13">
        <f t="shared" si="1"/>
        <v>6.3899999999999998E-2</v>
      </c>
      <c r="K14" s="11">
        <f t="shared" si="2"/>
        <v>8434.1188563643118</v>
      </c>
      <c r="L14" s="14">
        <f>B14*SUM($X$10:X$13)</f>
        <v>2556.0520000000001</v>
      </c>
      <c r="M14" s="14">
        <f t="shared" si="3"/>
        <v>5878.0668563643121</v>
      </c>
      <c r="N14" s="11">
        <f t="shared" si="4"/>
        <v>-33078.32</v>
      </c>
      <c r="O14" s="14">
        <f t="shared" si="5"/>
        <v>5878.0668563643121</v>
      </c>
      <c r="P14" s="14">
        <f t="shared" si="7"/>
        <v>58240.456962580487</v>
      </c>
      <c r="Q14" s="4">
        <f t="shared" si="6"/>
        <v>0.22068124715963267</v>
      </c>
      <c r="W14" t="s">
        <v>30</v>
      </c>
      <c r="X14" s="4">
        <v>0.02</v>
      </c>
    </row>
    <row r="15" spans="1:26" ht="15">
      <c r="A15" s="8">
        <v>36526</v>
      </c>
      <c r="B15" s="9">
        <v>142513</v>
      </c>
      <c r="C15" s="10">
        <v>473</v>
      </c>
      <c r="D15" s="10">
        <v>580</v>
      </c>
      <c r="E15" s="10">
        <v>730</v>
      </c>
      <c r="F15" s="10">
        <v>823</v>
      </c>
      <c r="G15" s="11">
        <f t="shared" si="0"/>
        <v>683.83221051957821</v>
      </c>
      <c r="H15" s="10">
        <v>1.8</v>
      </c>
      <c r="I15" s="12">
        <v>8.1999999999999993</v>
      </c>
      <c r="J15" s="13">
        <f t="shared" si="1"/>
        <v>7.1999999999999995E-2</v>
      </c>
      <c r="K15" s="11">
        <f t="shared" si="2"/>
        <v>8638.4420161675189</v>
      </c>
      <c r="L15" s="14">
        <f>B15*SUM($X$10:X$13)</f>
        <v>2422.721</v>
      </c>
      <c r="M15" s="14">
        <f t="shared" si="3"/>
        <v>6215.7210161675193</v>
      </c>
      <c r="N15" s="11">
        <f t="shared" si="4"/>
        <v>-31352.86</v>
      </c>
      <c r="O15" s="14">
        <f t="shared" si="5"/>
        <v>6215.7210161675193</v>
      </c>
      <c r="P15" s="14">
        <f t="shared" si="7"/>
        <v>50864.784891850562</v>
      </c>
      <c r="Q15" s="4">
        <f t="shared" si="6"/>
        <v>0.21809102237502564</v>
      </c>
      <c r="W15" t="s">
        <v>31</v>
      </c>
      <c r="X15" s="4">
        <v>0.06</v>
      </c>
    </row>
    <row r="16" spans="1:26" ht="15">
      <c r="A16" s="8">
        <v>36892</v>
      </c>
      <c r="B16" s="9">
        <v>137603</v>
      </c>
      <c r="C16" s="10">
        <v>484</v>
      </c>
      <c r="D16" s="10">
        <v>594</v>
      </c>
      <c r="E16" s="10">
        <v>754</v>
      </c>
      <c r="F16" s="10">
        <v>837</v>
      </c>
      <c r="G16" s="11">
        <f t="shared" si="0"/>
        <v>704.44616176597231</v>
      </c>
      <c r="H16" s="10">
        <v>0.5</v>
      </c>
      <c r="I16" s="12">
        <v>7.18</v>
      </c>
      <c r="J16" s="13">
        <f t="shared" si="1"/>
        <v>6.1800000000000001E-2</v>
      </c>
      <c r="K16" s="11">
        <f t="shared" si="2"/>
        <v>9019.7286552515106</v>
      </c>
      <c r="L16" s="14">
        <f>B16*SUM($X$10:X$13)</f>
        <v>2339.2510000000002</v>
      </c>
      <c r="M16" s="14">
        <f t="shared" si="3"/>
        <v>6680.4776552515104</v>
      </c>
      <c r="N16" s="11">
        <f t="shared" si="4"/>
        <v>-30272.660000000003</v>
      </c>
      <c r="O16" s="14">
        <f t="shared" si="5"/>
        <v>6680.4776552515104</v>
      </c>
      <c r="P16" s="14">
        <f t="shared" si="7"/>
        <v>37458.238958669404</v>
      </c>
      <c r="Q16" s="4">
        <f t="shared" si="6"/>
        <v>0.2551284938434859</v>
      </c>
      <c r="W16" t="s">
        <v>32</v>
      </c>
      <c r="X16" s="4">
        <v>0.03</v>
      </c>
    </row>
    <row r="17" spans="1:24" ht="15">
      <c r="A17" s="8">
        <v>37257</v>
      </c>
      <c r="B17" s="9">
        <v>150426</v>
      </c>
      <c r="C17" s="10">
        <v>505</v>
      </c>
      <c r="D17" s="10">
        <v>608</v>
      </c>
      <c r="E17" s="10">
        <v>774</v>
      </c>
      <c r="F17" s="10">
        <v>863</v>
      </c>
      <c r="G17" s="11">
        <f t="shared" si="0"/>
        <v>722.87967720196775</v>
      </c>
      <c r="H17" s="10">
        <v>1.5</v>
      </c>
      <c r="I17" s="12">
        <v>6.7</v>
      </c>
      <c r="J17" s="13">
        <f t="shared" si="1"/>
        <v>5.7000000000000002E-2</v>
      </c>
      <c r="K17" s="11">
        <f t="shared" si="2"/>
        <v>9160.3312695033346</v>
      </c>
      <c r="L17" s="14">
        <f>B17*SUM($X$10:X$13)</f>
        <v>2557.2420000000002</v>
      </c>
      <c r="M17" s="14">
        <f t="shared" si="3"/>
        <v>6603.0892695033344</v>
      </c>
      <c r="N17" s="11">
        <f t="shared" si="4"/>
        <v>-33093.72</v>
      </c>
      <c r="O17" s="14">
        <f t="shared" si="5"/>
        <v>6603.0892695033344</v>
      </c>
      <c r="P17" s="14">
        <f t="shared" si="7"/>
        <v>46892.161762525735</v>
      </c>
      <c r="Q17" s="4">
        <f t="shared" si="6"/>
        <v>0.23337324477457044</v>
      </c>
      <c r="W17" t="s">
        <v>33</v>
      </c>
      <c r="X17" s="4">
        <v>0.08</v>
      </c>
    </row>
    <row r="18" spans="1:24" ht="15">
      <c r="A18" s="8">
        <v>37622</v>
      </c>
      <c r="B18" s="9">
        <v>183263</v>
      </c>
      <c r="C18" s="10">
        <v>514</v>
      </c>
      <c r="D18" s="10">
        <v>620</v>
      </c>
      <c r="E18" s="10">
        <v>791</v>
      </c>
      <c r="F18" s="10">
        <v>897</v>
      </c>
      <c r="G18" s="11">
        <f t="shared" si="0"/>
        <v>738.69085950371039</v>
      </c>
      <c r="H18" s="10">
        <v>1.1000000000000001</v>
      </c>
      <c r="I18" s="12">
        <v>6.04</v>
      </c>
      <c r="J18" s="13">
        <f t="shared" si="1"/>
        <v>5.04E-2</v>
      </c>
      <c r="K18" s="11">
        <f t="shared" si="2"/>
        <v>9399.6934490128151</v>
      </c>
      <c r="L18" s="14">
        <f>B18*SUM($X$10:X$13)</f>
        <v>3115.471</v>
      </c>
      <c r="M18" s="14">
        <f t="shared" si="3"/>
        <v>6284.2224490128156</v>
      </c>
      <c r="N18" s="11">
        <f t="shared" si="4"/>
        <v>-40317.86</v>
      </c>
      <c r="O18" s="14">
        <f t="shared" si="5"/>
        <v>6284.2224490128156</v>
      </c>
      <c r="P18" s="14">
        <f t="shared" si="7"/>
        <v>73783.65930285881</v>
      </c>
      <c r="Q18" s="4">
        <f t="shared" si="6"/>
        <v>0.17582059509271142</v>
      </c>
    </row>
    <row r="19" spans="1:24" ht="15">
      <c r="A19" s="8">
        <v>37987</v>
      </c>
      <c r="B19" s="9">
        <v>216300</v>
      </c>
      <c r="C19" s="10">
        <v>518</v>
      </c>
      <c r="D19" s="10">
        <v>631</v>
      </c>
      <c r="E19" s="10">
        <v>802</v>
      </c>
      <c r="F19" s="10">
        <v>891</v>
      </c>
      <c r="G19" s="11">
        <f t="shared" si="0"/>
        <v>749.13742468691373</v>
      </c>
      <c r="H19" s="10">
        <v>0.6</v>
      </c>
      <c r="I19" s="12">
        <v>5.8</v>
      </c>
      <c r="J19" s="13">
        <f t="shared" si="1"/>
        <v>4.7999999999999994E-2</v>
      </c>
      <c r="K19" s="11">
        <f t="shared" si="2"/>
        <v>9582.0669716853772</v>
      </c>
      <c r="L19" s="14">
        <f>B19*SUM($X$10:X$13)</f>
        <v>3677.1000000000004</v>
      </c>
      <c r="M19" s="14">
        <f t="shared" si="3"/>
        <v>5904.9669716853768</v>
      </c>
      <c r="N19" s="11">
        <f t="shared" si="4"/>
        <v>-47586</v>
      </c>
      <c r="O19" s="14">
        <f t="shared" si="5"/>
        <v>5904.9669716853768</v>
      </c>
      <c r="P19" s="14">
        <f t="shared" si="7"/>
        <v>109496.55075993246</v>
      </c>
      <c r="Q19" s="4">
        <f t="shared" si="6"/>
        <v>0.13361139113619847</v>
      </c>
    </row>
    <row r="20" spans="1:24" ht="15">
      <c r="A20" s="8">
        <v>38353</v>
      </c>
      <c r="B20" s="9">
        <v>251767</v>
      </c>
      <c r="C20" s="10">
        <v>541</v>
      </c>
      <c r="D20" s="10">
        <v>659</v>
      </c>
      <c r="E20" s="10">
        <v>842</v>
      </c>
      <c r="F20" s="10">
        <v>979</v>
      </c>
      <c r="G20" s="11">
        <f t="shared" si="0"/>
        <v>786.50294219806972</v>
      </c>
      <c r="H20" s="10">
        <v>0.5</v>
      </c>
      <c r="I20" s="12">
        <v>5.48</v>
      </c>
      <c r="J20" s="13">
        <f t="shared" si="1"/>
        <v>4.48E-2</v>
      </c>
      <c r="K20" s="11">
        <f t="shared" si="2"/>
        <v>10070.383671904085</v>
      </c>
      <c r="L20" s="14">
        <f>B20*SUM($X$10:X$13)</f>
        <v>4280.0390000000007</v>
      </c>
      <c r="M20" s="14">
        <f t="shared" si="3"/>
        <v>5790.344671904084</v>
      </c>
      <c r="N20" s="11">
        <f t="shared" si="4"/>
        <v>-55388.740000000005</v>
      </c>
      <c r="O20" s="14">
        <f t="shared" si="5"/>
        <v>5790.344671904084</v>
      </c>
      <c r="P20" s="14">
        <f t="shared" si="7"/>
        <v>148771.70466223528</v>
      </c>
      <c r="Q20" s="4">
        <f t="shared" si="6"/>
        <v>0.1123137255450144</v>
      </c>
    </row>
    <row r="21" spans="1:24" ht="15">
      <c r="A21" s="8">
        <v>38718</v>
      </c>
      <c r="B21" s="9">
        <v>286058</v>
      </c>
      <c r="C21" s="10">
        <v>561</v>
      </c>
      <c r="D21" s="10">
        <v>682</v>
      </c>
      <c r="E21" s="10">
        <v>876</v>
      </c>
      <c r="F21" s="10">
        <v>992</v>
      </c>
      <c r="G21" s="11">
        <f t="shared" si="0"/>
        <v>816.54009032324814</v>
      </c>
      <c r="H21" s="10">
        <v>0.5</v>
      </c>
      <c r="I21" s="12">
        <v>5.98</v>
      </c>
      <c r="J21" s="13">
        <f t="shared" si="1"/>
        <v>4.9800000000000004E-2</v>
      </c>
      <c r="K21" s="11">
        <f t="shared" si="2"/>
        <v>10454.97931649887</v>
      </c>
      <c r="L21" s="14">
        <f>B21*SUM($X$10:X$13)</f>
        <v>4862.9860000000008</v>
      </c>
      <c r="M21" s="14">
        <f t="shared" si="3"/>
        <v>5591.9933164988688</v>
      </c>
      <c r="N21" s="11">
        <f t="shared" si="4"/>
        <v>-62932.760000000009</v>
      </c>
      <c r="O21" s="14">
        <f t="shared" si="5"/>
        <v>5591.9933164988688</v>
      </c>
      <c r="P21" s="14">
        <f t="shared" si="7"/>
        <v>182289.64096488938</v>
      </c>
      <c r="Q21" s="4">
        <f t="shared" si="6"/>
        <v>6.8825737516456709E-2</v>
      </c>
    </row>
    <row r="22" spans="1:24" ht="15">
      <c r="A22" s="8">
        <v>39083</v>
      </c>
      <c r="B22" s="9">
        <v>317969</v>
      </c>
      <c r="C22" s="10">
        <v>591</v>
      </c>
      <c r="D22" s="10">
        <v>717</v>
      </c>
      <c r="E22" s="10">
        <v>908</v>
      </c>
      <c r="F22" s="10">
        <v>1035</v>
      </c>
      <c r="G22" s="11">
        <f t="shared" si="0"/>
        <v>849.62768725727119</v>
      </c>
      <c r="H22" s="10">
        <v>0.5</v>
      </c>
      <c r="I22" s="12">
        <v>6.36</v>
      </c>
      <c r="J22" s="13">
        <f t="shared" si="1"/>
        <v>5.3600000000000002E-2</v>
      </c>
      <c r="K22" s="11">
        <f t="shared" si="2"/>
        <v>10878.632907642101</v>
      </c>
      <c r="L22" s="14">
        <f>B22*SUM($X$10:X$13)</f>
        <v>5405.473</v>
      </c>
      <c r="M22" s="14">
        <f t="shared" si="3"/>
        <v>5473.1599076421007</v>
      </c>
      <c r="N22" s="11">
        <f t="shared" si="4"/>
        <v>-69953.180000000008</v>
      </c>
      <c r="O22" s="14">
        <f t="shared" si="5"/>
        <v>5473.1599076421007</v>
      </c>
      <c r="P22" s="14">
        <f t="shared" si="7"/>
        <v>211793.65886514785</v>
      </c>
      <c r="Q22" s="4">
        <f t="shared" si="6"/>
        <v>5.4911767071097906E-2</v>
      </c>
    </row>
    <row r="23" spans="1:24" ht="15">
      <c r="A23" s="8">
        <v>39448</v>
      </c>
      <c r="B23" s="9">
        <v>320207</v>
      </c>
      <c r="C23" s="10">
        <v>626</v>
      </c>
      <c r="D23" s="10">
        <v>765</v>
      </c>
      <c r="E23" s="10">
        <v>969</v>
      </c>
      <c r="F23" s="10">
        <v>1200</v>
      </c>
      <c r="G23" s="11">
        <f t="shared" si="0"/>
        <v>908.8845733928697</v>
      </c>
      <c r="H23" s="10">
        <v>0.5</v>
      </c>
      <c r="I23" s="12">
        <v>6.41</v>
      </c>
      <c r="J23" s="13">
        <f t="shared" si="1"/>
        <v>5.4100000000000002E-2</v>
      </c>
      <c r="K23" s="11">
        <f t="shared" si="2"/>
        <v>11637.358077722303</v>
      </c>
      <c r="L23" s="14">
        <f>B23*SUM($X$10:X$13)</f>
        <v>5443.5190000000002</v>
      </c>
      <c r="M23" s="14">
        <f t="shared" si="3"/>
        <v>6193.839077722303</v>
      </c>
      <c r="N23" s="11">
        <f t="shared" si="4"/>
        <v>-70445.540000000008</v>
      </c>
      <c r="O23" s="14">
        <f t="shared" si="5"/>
        <v>6193.839077722303</v>
      </c>
      <c r="P23" s="14">
        <f t="shared" si="7"/>
        <v>215161.62220084079</v>
      </c>
      <c r="Q23" s="4">
        <f t="shared" si="6"/>
        <v>9.5754409201722401E-2</v>
      </c>
    </row>
    <row r="24" spans="1:24" ht="15">
      <c r="A24" s="8">
        <v>39814</v>
      </c>
      <c r="B24" s="9">
        <v>310911</v>
      </c>
      <c r="C24" s="10">
        <v>645</v>
      </c>
      <c r="D24" s="10">
        <v>788</v>
      </c>
      <c r="E24" s="10">
        <v>1004</v>
      </c>
      <c r="F24" s="10">
        <v>1198</v>
      </c>
      <c r="G24" s="11">
        <f t="shared" si="0"/>
        <v>939.20491571505022</v>
      </c>
      <c r="H24" s="10">
        <v>1.4</v>
      </c>
      <c r="I24" s="12">
        <v>5.05</v>
      </c>
      <c r="J24" s="13">
        <f t="shared" si="1"/>
        <v>4.0499999999999994E-2</v>
      </c>
      <c r="K24" s="11">
        <f t="shared" si="2"/>
        <v>11914.002196828555</v>
      </c>
      <c r="L24" s="14">
        <f>B24*SUM($X$10:X$13)</f>
        <v>5285.4870000000001</v>
      </c>
      <c r="M24" s="14">
        <f t="shared" si="3"/>
        <v>6628.5151968285545</v>
      </c>
      <c r="N24" s="11">
        <f t="shared" si="4"/>
        <v>-68400.42</v>
      </c>
      <c r="O24" s="14">
        <f t="shared" si="5"/>
        <v>6628.5151968285545</v>
      </c>
      <c r="P24" s="14">
        <f t="shared" si="7"/>
        <v>208971.47394710704</v>
      </c>
      <c r="Q24" s="4">
        <f t="shared" si="6"/>
        <v>0.15532279691542117</v>
      </c>
    </row>
    <row r="25" spans="1:24" ht="15">
      <c r="A25" s="8">
        <v>40179</v>
      </c>
      <c r="B25" s="9">
        <v>323518</v>
      </c>
      <c r="C25" s="10">
        <v>664</v>
      </c>
      <c r="D25" s="10">
        <v>806</v>
      </c>
      <c r="E25" s="10">
        <v>1023</v>
      </c>
      <c r="F25" s="10">
        <v>1194</v>
      </c>
      <c r="G25" s="11">
        <f t="shared" si="0"/>
        <v>957.35497127125302</v>
      </c>
      <c r="H25" s="10">
        <v>1.5</v>
      </c>
      <c r="I25" s="12">
        <v>4.82</v>
      </c>
      <c r="J25" s="13">
        <f t="shared" si="1"/>
        <v>3.8199999999999998E-2</v>
      </c>
      <c r="K25" s="11">
        <f t="shared" si="2"/>
        <v>12131.602195949319</v>
      </c>
      <c r="L25" s="14">
        <f>B25*SUM($X$10:X$13)</f>
        <v>5499.8060000000005</v>
      </c>
      <c r="M25" s="14">
        <f t="shared" si="3"/>
        <v>6631.7961959493186</v>
      </c>
      <c r="N25" s="11">
        <f t="shared" si="4"/>
        <v>-71173.960000000006</v>
      </c>
      <c r="O25" s="14">
        <f t="shared" si="5"/>
        <v>6631.7961959493186</v>
      </c>
      <c r="P25" s="14">
        <f t="shared" si="7"/>
        <v>226731.24102833762</v>
      </c>
      <c r="Q25" s="4">
        <f t="shared" si="6"/>
        <v>0.1506391227769206</v>
      </c>
    </row>
    <row r="26" spans="1:24" ht="15">
      <c r="A26" s="8">
        <v>40544</v>
      </c>
      <c r="B26" s="9">
        <v>325569</v>
      </c>
      <c r="C26" s="10">
        <v>677</v>
      </c>
      <c r="D26" s="10">
        <v>819</v>
      </c>
      <c r="E26" s="10">
        <v>1045</v>
      </c>
      <c r="F26" s="10">
        <v>1203</v>
      </c>
      <c r="G26" s="11">
        <f t="shared" si="0"/>
        <v>976.26374767343327</v>
      </c>
      <c r="H26" s="10">
        <v>2.1</v>
      </c>
      <c r="I26" s="12">
        <v>4.57</v>
      </c>
      <c r="J26" s="13">
        <f t="shared" si="1"/>
        <v>3.5700000000000003E-2</v>
      </c>
      <c r="K26" s="11">
        <f t="shared" si="2"/>
        <v>12293.894121702009</v>
      </c>
      <c r="L26" s="14">
        <f>B26*SUM($X$10:X$13)</f>
        <v>5534.6730000000007</v>
      </c>
      <c r="M26" s="14">
        <f t="shared" si="3"/>
        <v>6759.2211217020085</v>
      </c>
      <c r="N26" s="11">
        <f t="shared" si="4"/>
        <v>-71625.180000000008</v>
      </c>
      <c r="O26" s="14">
        <f t="shared" si="5"/>
        <v>6759.2211217020085</v>
      </c>
      <c r="P26" s="14">
        <f t="shared" si="7"/>
        <v>222207.98427191866</v>
      </c>
      <c r="Q26" s="4">
        <f t="shared" si="6"/>
        <v>0.16269148836629332</v>
      </c>
      <c r="R26" s="15"/>
    </row>
    <row r="27" spans="1:24" ht="15">
      <c r="A27" s="8">
        <v>40909</v>
      </c>
      <c r="B27" s="16">
        <v>313280</v>
      </c>
      <c r="C27" s="10">
        <v>697</v>
      </c>
      <c r="D27" s="10">
        <v>827</v>
      </c>
      <c r="E27" s="10">
        <v>1059</v>
      </c>
      <c r="F27" s="10">
        <v>1219</v>
      </c>
      <c r="G27" s="11">
        <f t="shared" si="0"/>
        <v>988.69998786418091</v>
      </c>
      <c r="H27" s="10">
        <v>2.8</v>
      </c>
      <c r="I27" s="17">
        <v>4.2366666666666699</v>
      </c>
      <c r="J27" s="13">
        <f t="shared" si="1"/>
        <v>3.2366666666666696E-2</v>
      </c>
      <c r="K27" s="11">
        <f t="shared" si="2"/>
        <v>12359.145328297407</v>
      </c>
      <c r="L27" s="14">
        <f>B27*SUM($X$10:X$13)</f>
        <v>5325.76</v>
      </c>
      <c r="M27" s="14">
        <f t="shared" si="3"/>
        <v>7033.3853282974069</v>
      </c>
      <c r="N27" s="11">
        <f t="shared" si="4"/>
        <v>-68921.600000000006</v>
      </c>
      <c r="O27" s="14">
        <f t="shared" si="5"/>
        <v>7033.3853282974069</v>
      </c>
      <c r="P27" s="14">
        <f t="shared" si="7"/>
        <v>192808.20915954959</v>
      </c>
    </row>
    <row r="28" spans="1:24" ht="15">
      <c r="A28" s="8">
        <v>41275</v>
      </c>
      <c r="B28" s="16">
        <v>303819</v>
      </c>
      <c r="C28" s="10">
        <v>707</v>
      </c>
      <c r="D28" s="10">
        <v>832</v>
      </c>
      <c r="E28" s="10">
        <v>1065</v>
      </c>
      <c r="F28" s="10">
        <v>1236</v>
      </c>
      <c r="G28" s="11">
        <f t="shared" si="0"/>
        <v>994.75748321371998</v>
      </c>
      <c r="H28" s="10">
        <v>2.8</v>
      </c>
      <c r="I28" s="17">
        <v>4.17</v>
      </c>
      <c r="J28" s="13">
        <f t="shared" si="1"/>
        <v>3.1699999999999999E-2</v>
      </c>
      <c r="K28" s="11">
        <f t="shared" si="2"/>
        <v>12434.866443164787</v>
      </c>
      <c r="L28" s="14">
        <f>B28*SUM($X$10:X$13)</f>
        <v>5164.9230000000007</v>
      </c>
      <c r="M28" s="14">
        <f t="shared" si="3"/>
        <v>7269.943443164786</v>
      </c>
      <c r="N28" s="11">
        <f t="shared" si="4"/>
        <v>-66840.180000000008</v>
      </c>
      <c r="O28" s="14">
        <f t="shared" si="5"/>
        <v>7269.943443164786</v>
      </c>
      <c r="P28" s="14">
        <f t="shared" si="7"/>
        <v>165160.93669844029</v>
      </c>
    </row>
    <row r="29" spans="1:24" ht="15">
      <c r="A29" s="8">
        <v>41640</v>
      </c>
      <c r="B29" s="16">
        <v>324988</v>
      </c>
      <c r="C29" s="10">
        <v>722</v>
      </c>
      <c r="D29" s="10">
        <v>848</v>
      </c>
      <c r="E29" s="10">
        <v>1095</v>
      </c>
      <c r="F29" s="10">
        <v>1305</v>
      </c>
      <c r="G29" s="11">
        <f t="shared" si="0"/>
        <v>1021.3689753881525</v>
      </c>
      <c r="H29" s="10">
        <v>1.5</v>
      </c>
      <c r="I29" s="17">
        <v>4.0766666666666698</v>
      </c>
      <c r="J29" s="13">
        <f t="shared" si="1"/>
        <v>3.0766666666666699E-2</v>
      </c>
      <c r="K29" s="11">
        <f t="shared" si="2"/>
        <v>12942.787656118668</v>
      </c>
      <c r="L29" s="14">
        <f>B29*SUM($X$10:X$13)</f>
        <v>5524.7960000000003</v>
      </c>
      <c r="M29" s="14">
        <f t="shared" si="3"/>
        <v>7417.9916561186674</v>
      </c>
      <c r="N29" s="11">
        <f t="shared" si="4"/>
        <v>-71497.36</v>
      </c>
      <c r="O29" s="14">
        <f t="shared" si="5"/>
        <v>7417.9916561186674</v>
      </c>
      <c r="P29" s="14">
        <f t="shared" si="7"/>
        <v>166541.64006639115</v>
      </c>
    </row>
    <row r="30" spans="1:24" ht="15">
      <c r="A30" s="8">
        <v>42005</v>
      </c>
      <c r="B30" s="18">
        <v>326472</v>
      </c>
      <c r="C30" s="10">
        <v>743</v>
      </c>
      <c r="D30" s="10">
        <v>866</v>
      </c>
      <c r="E30" s="10">
        <v>1127</v>
      </c>
      <c r="F30" s="10">
        <v>1356</v>
      </c>
      <c r="G30" s="11">
        <f t="shared" si="0"/>
        <v>1049.5733656914401</v>
      </c>
      <c r="H30" s="10">
        <v>0.6</v>
      </c>
      <c r="I30" s="17">
        <v>3.7708333333333299</v>
      </c>
      <c r="J30" s="13">
        <f t="shared" si="1"/>
        <v>2.77083333333333E-2</v>
      </c>
      <c r="K30" s="11">
        <f t="shared" si="2"/>
        <v>13424.883005886075</v>
      </c>
      <c r="L30" s="14">
        <f>B30*SUM($X$10:X$13)</f>
        <v>5550.0240000000003</v>
      </c>
      <c r="M30" s="14">
        <f t="shared" si="3"/>
        <v>7874.8590058860746</v>
      </c>
      <c r="N30" s="11">
        <f t="shared" si="4"/>
        <v>-71823.839999999997</v>
      </c>
      <c r="O30" s="14">
        <f t="shared" si="5"/>
        <v>7874.8590058860746</v>
      </c>
      <c r="P30" s="14">
        <f t="shared" si="7"/>
        <v>145317.42812373361</v>
      </c>
    </row>
    <row r="31" spans="1:24" ht="15">
      <c r="A31" s="8">
        <v>42370</v>
      </c>
      <c r="B31" s="9">
        <v>354502</v>
      </c>
      <c r="C31" s="10">
        <v>786</v>
      </c>
      <c r="D31" s="10">
        <v>911</v>
      </c>
      <c r="E31" s="10">
        <v>1187</v>
      </c>
      <c r="F31" s="10">
        <v>1471</v>
      </c>
      <c r="G31" s="11">
        <f t="shared" si="0"/>
        <v>1106.2414779151834</v>
      </c>
      <c r="H31" s="10">
        <v>0.5</v>
      </c>
      <c r="I31" s="17">
        <v>3.7008333333333301</v>
      </c>
      <c r="J31" s="13">
        <f t="shared" si="1"/>
        <v>2.7008333333333301E-2</v>
      </c>
      <c r="K31" s="11">
        <f t="shared" si="2"/>
        <v>14164.315883226009</v>
      </c>
      <c r="L31" s="14">
        <f>B31*SUM($X$10:X$13)</f>
        <v>6026.5340000000006</v>
      </c>
      <c r="M31" s="14">
        <f t="shared" si="3"/>
        <v>8137.7818832260082</v>
      </c>
      <c r="N31" s="11">
        <f t="shared" si="4"/>
        <v>-77990.44</v>
      </c>
      <c r="O31" s="14">
        <f t="shared" si="5"/>
        <v>8137.7818832260082</v>
      </c>
      <c r="P31" s="14">
        <f t="shared" si="7"/>
        <v>151403.0726290592</v>
      </c>
    </row>
    <row r="32" spans="1:24" ht="15">
      <c r="A32" s="8">
        <v>42736</v>
      </c>
      <c r="B32" s="9">
        <v>420351</v>
      </c>
      <c r="C32" s="10">
        <v>851</v>
      </c>
      <c r="D32" s="10">
        <v>990</v>
      </c>
      <c r="E32" s="10">
        <v>1288</v>
      </c>
      <c r="F32" s="10">
        <v>1556</v>
      </c>
      <c r="G32" s="11">
        <f t="shared" si="0"/>
        <v>1199.7843103503528</v>
      </c>
      <c r="H32" s="10">
        <v>0.7</v>
      </c>
      <c r="I32" s="17">
        <v>3.7891666666666701</v>
      </c>
      <c r="J32" s="13">
        <f t="shared" si="1"/>
        <v>2.7891666666666697E-2</v>
      </c>
      <c r="K32" s="11">
        <f t="shared" si="2"/>
        <v>15330.364003932669</v>
      </c>
      <c r="L32" s="14">
        <f>B32*SUM($X$10:X$13)</f>
        <v>7145.9670000000006</v>
      </c>
      <c r="M32" s="14">
        <f t="shared" si="3"/>
        <v>8184.3970039326687</v>
      </c>
      <c r="N32" s="11">
        <f t="shared" si="4"/>
        <v>-92477.220000000016</v>
      </c>
      <c r="O32" s="14">
        <f t="shared" si="5"/>
        <v>8184.3970039326687</v>
      </c>
      <c r="P32" s="14">
        <f t="shared" si="7"/>
        <v>213639.33683475942</v>
      </c>
    </row>
    <row r="33" spans="1:16" ht="15">
      <c r="A33" s="8">
        <v>43101</v>
      </c>
      <c r="B33" s="9">
        <v>471656</v>
      </c>
      <c r="C33" s="10">
        <v>930</v>
      </c>
      <c r="D33" s="10">
        <v>1080</v>
      </c>
      <c r="E33" s="10">
        <v>1413</v>
      </c>
      <c r="F33" s="10">
        <v>1656</v>
      </c>
      <c r="G33" s="11">
        <f t="shared" si="0"/>
        <v>1313.1602416740502</v>
      </c>
      <c r="H33" s="10">
        <v>1.1000000000000001</v>
      </c>
      <c r="I33" s="17">
        <v>4.3616666666666699</v>
      </c>
      <c r="J33" s="13">
        <f t="shared" si="1"/>
        <v>3.3616666666666697E-2</v>
      </c>
      <c r="K33" s="11">
        <f t="shared" si="2"/>
        <v>16709.701443253954</v>
      </c>
      <c r="L33" s="14">
        <f>B33*SUM($X$10:X$13)</f>
        <v>8018.152000000001</v>
      </c>
      <c r="M33" s="14">
        <f t="shared" si="3"/>
        <v>8691.5494432539526</v>
      </c>
      <c r="N33" s="11">
        <f t="shared" si="4"/>
        <v>-103764.32</v>
      </c>
      <c r="O33" s="14">
        <f t="shared" si="5"/>
        <v>8691.5494432539526</v>
      </c>
      <c r="P33" s="14">
        <f t="shared" si="7"/>
        <v>277286.35120962729</v>
      </c>
    </row>
    <row r="34" spans="1:16" ht="15">
      <c r="A34" s="8">
        <v>43466</v>
      </c>
      <c r="B34" s="9">
        <v>466716</v>
      </c>
      <c r="C34" s="10">
        <v>969</v>
      </c>
      <c r="D34" s="10">
        <v>1133</v>
      </c>
      <c r="E34" s="10">
        <v>1452</v>
      </c>
      <c r="F34" s="10">
        <v>1774</v>
      </c>
      <c r="G34" s="11">
        <f t="shared" si="0"/>
        <v>1358.1091632034013</v>
      </c>
      <c r="H34" s="10">
        <v>1</v>
      </c>
      <c r="I34" s="17">
        <v>4.25</v>
      </c>
      <c r="J34" s="13">
        <f t="shared" si="1"/>
        <v>3.2500000000000001E-2</v>
      </c>
      <c r="K34" s="11">
        <f t="shared" si="2"/>
        <v>17299.594520884926</v>
      </c>
      <c r="L34" s="14">
        <f>B34*SUM($X$10:X$13)</f>
        <v>7934.1720000000005</v>
      </c>
      <c r="M34" s="14">
        <f t="shared" si="3"/>
        <v>9365.4225208849257</v>
      </c>
      <c r="N34" s="11">
        <f t="shared" si="4"/>
        <v>-102677.52000000002</v>
      </c>
      <c r="O34" s="14">
        <f t="shared" si="5"/>
        <v>9365.4225208849257</v>
      </c>
      <c r="P34" s="14">
        <f t="shared" si="7"/>
        <v>266838.87659204204</v>
      </c>
    </row>
    <row r="35" spans="1:16" ht="15">
      <c r="A35" s="8">
        <v>43831</v>
      </c>
      <c r="B35" s="9">
        <v>480800</v>
      </c>
      <c r="C35" s="19">
        <v>969</v>
      </c>
      <c r="D35" s="19">
        <v>1133</v>
      </c>
      <c r="E35" s="19">
        <v>1452</v>
      </c>
      <c r="F35" s="19">
        <v>1774</v>
      </c>
      <c r="G35" s="11">
        <f t="shared" si="0"/>
        <v>1358.1091632034013</v>
      </c>
      <c r="H35" s="19">
        <v>1.5</v>
      </c>
      <c r="I35" s="17">
        <v>3.51</v>
      </c>
      <c r="J35" s="13">
        <f t="shared" si="1"/>
        <v>2.5099999999999997E-2</v>
      </c>
      <c r="K35" s="11">
        <f t="shared" si="2"/>
        <v>17209.959316113502</v>
      </c>
      <c r="L35" s="14">
        <f>B35*SUM($X$10:X$13)</f>
        <v>8173.6</v>
      </c>
      <c r="M35" s="14">
        <f t="shared" si="3"/>
        <v>9036.3593161135013</v>
      </c>
      <c r="N35" s="11">
        <f t="shared" si="4"/>
        <v>-105776</v>
      </c>
      <c r="O35" s="14">
        <f t="shared" si="5"/>
        <v>9036.3593161135013</v>
      </c>
      <c r="P35" s="14">
        <f t="shared" si="7"/>
        <v>281034.87925218127</v>
      </c>
    </row>
    <row r="36" spans="1:16" ht="15">
      <c r="I36" s="20"/>
      <c r="J36" s="21"/>
    </row>
    <row r="37" spans="1:16">
      <c r="A37" s="5" t="s">
        <v>34</v>
      </c>
    </row>
    <row r="38" spans="1:16">
      <c r="A38" s="5"/>
      <c r="B38" s="1" t="s">
        <v>35</v>
      </c>
      <c r="C38" s="1"/>
      <c r="D38" s="1"/>
      <c r="E38" s="1"/>
      <c r="F38" s="1"/>
      <c r="G38" s="1"/>
      <c r="H38" s="1"/>
      <c r="I38" s="1"/>
      <c r="J38" s="1"/>
      <c r="K38" s="1"/>
    </row>
    <row r="39" spans="1:16">
      <c r="A39" s="5" t="s">
        <v>36</v>
      </c>
      <c r="B39" s="5">
        <v>1</v>
      </c>
      <c r="C39" s="5">
        <v>2</v>
      </c>
      <c r="D39" s="5">
        <v>3</v>
      </c>
      <c r="E39" s="5">
        <v>4</v>
      </c>
      <c r="F39" s="5">
        <v>5</v>
      </c>
      <c r="G39" s="5">
        <v>6</v>
      </c>
      <c r="H39" s="5">
        <v>7</v>
      </c>
      <c r="I39" s="5">
        <v>8</v>
      </c>
      <c r="J39" s="22">
        <v>9</v>
      </c>
      <c r="K39" s="5">
        <v>10</v>
      </c>
    </row>
    <row r="40" spans="1:16" ht="15">
      <c r="A40" s="8">
        <v>32143</v>
      </c>
      <c r="B40" s="23">
        <f t="shared" ref="B40:B72" si="8">N3+O3+CUMIPMT(J3/12, 300, $B3*0.8, 1, 12, 1)</f>
        <v>-21799.01020750912</v>
      </c>
      <c r="C40" s="23">
        <f t="shared" ref="C40:C71" si="9">$O4+CUMIPMT($J3/12, 300, $B3*0.8, 13, 24, 1)</f>
        <v>-2515.9976837730937</v>
      </c>
      <c r="D40" s="23">
        <f t="shared" ref="D40:D70" si="10">$O5+CUMIPMT($J3/12, 300, $B3*0.8, 25, 36, 1)</f>
        <v>-1981.6132209924826</v>
      </c>
      <c r="E40" s="23">
        <f t="shared" ref="E40:E69" si="11">$O6+CUMIPMT($J3/12, 300, $B3*0.8, 37, 48, 1)</f>
        <v>-1436.7343130981471</v>
      </c>
      <c r="F40" s="23">
        <f t="shared" ref="F40:F68" si="12">$O7+CUMIPMT($J3/12, 300, $B3*0.8, 49, 60, 1)</f>
        <v>-1456.6050404614616</v>
      </c>
      <c r="G40" s="23">
        <f t="shared" ref="G40:G67" si="13">$O8+CUMIPMT($J8/12, 300, $B3*0.8, 61, 72, 1)</f>
        <v>802.19003160711691</v>
      </c>
      <c r="H40" s="23">
        <f t="shared" ref="H40:H66" si="14">$O9+CUMIPMT($J8/12, 300, $B3*0.8, 73, 84, 1)</f>
        <v>921.43506575603897</v>
      </c>
      <c r="I40" s="23">
        <f t="shared" ref="I40:I65" si="15">$O10+CUMIPMT($J8/12, 300, $B3*0.8, 85, 96, 1)</f>
        <v>1025.7167418775189</v>
      </c>
      <c r="J40" s="23">
        <f t="shared" ref="J40:J64" si="16">$O11+CUMIPMT($J8/12, 300, $B3*0.8, 97, 108, 1)</f>
        <v>1140.494632085306</v>
      </c>
      <c r="K40" s="23">
        <f t="shared" ref="K40:K63" si="17">$O12+CUMIPMT($J8/12, 300, $B3*0.8, 109, 120, 1)+P12</f>
        <v>84683.204665949219</v>
      </c>
    </row>
    <row r="41" spans="1:16" ht="15">
      <c r="A41" s="8">
        <v>32509</v>
      </c>
      <c r="B41" s="23">
        <f t="shared" si="8"/>
        <v>-28809.74030963015</v>
      </c>
      <c r="C41" s="23">
        <f t="shared" si="9"/>
        <v>-4380.3019141069217</v>
      </c>
      <c r="D41" s="23">
        <f t="shared" si="10"/>
        <v>-3826.9095149519471</v>
      </c>
      <c r="E41" s="23">
        <f t="shared" si="11"/>
        <v>-3836.8633391406493</v>
      </c>
      <c r="F41" s="23">
        <f t="shared" si="12"/>
        <v>-3642.2639460021273</v>
      </c>
      <c r="G41" s="23">
        <f t="shared" si="13"/>
        <v>-1054.9041274200999</v>
      </c>
      <c r="H41" s="23">
        <f t="shared" si="14"/>
        <v>-928.23734500668343</v>
      </c>
      <c r="I41" s="23">
        <f t="shared" si="15"/>
        <v>-788.28772563574512</v>
      </c>
      <c r="J41" s="23">
        <f t="shared" si="16"/>
        <v>-544.48406789149885</v>
      </c>
      <c r="K41" s="23">
        <f t="shared" si="17"/>
        <v>69602.278307859728</v>
      </c>
    </row>
    <row r="42" spans="1:16" ht="15">
      <c r="A42" s="8">
        <v>32874</v>
      </c>
      <c r="B42" s="23">
        <f t="shared" si="8"/>
        <v>-32078.968580167224</v>
      </c>
      <c r="C42" s="23">
        <f t="shared" si="9"/>
        <v>-5838.2524641588916</v>
      </c>
      <c r="D42" s="23">
        <f t="shared" si="10"/>
        <v>-5859.6798160813705</v>
      </c>
      <c r="E42" s="23">
        <f t="shared" si="11"/>
        <v>-5676.6842245269127</v>
      </c>
      <c r="F42" s="23">
        <f t="shared" si="12"/>
        <v>-5555.2522202495411</v>
      </c>
      <c r="G42" s="23">
        <f t="shared" si="13"/>
        <v>-1502.2484084996986</v>
      </c>
      <c r="H42" s="23">
        <f t="shared" si="14"/>
        <v>-1363.5884198997319</v>
      </c>
      <c r="I42" s="23">
        <f t="shared" si="15"/>
        <v>-1121.388886251505</v>
      </c>
      <c r="J42" s="23">
        <f t="shared" si="16"/>
        <v>-1029.8474563944737</v>
      </c>
      <c r="K42" s="23">
        <f t="shared" si="17"/>
        <v>57571.747495996351</v>
      </c>
    </row>
    <row r="43" spans="1:16" ht="15">
      <c r="A43" s="8">
        <v>33239</v>
      </c>
      <c r="B43" s="23">
        <f t="shared" si="8"/>
        <v>-30999.401239318766</v>
      </c>
      <c r="C43" s="23">
        <f t="shared" si="9"/>
        <v>-4275.6415011596491</v>
      </c>
      <c r="D43" s="23">
        <f t="shared" si="10"/>
        <v>-4087.3461979608819</v>
      </c>
      <c r="E43" s="23">
        <f t="shared" si="11"/>
        <v>-3962.4172378239064</v>
      </c>
      <c r="F43" s="23">
        <f t="shared" si="12"/>
        <v>-3848.8074414172261</v>
      </c>
      <c r="G43" s="23">
        <f t="shared" si="13"/>
        <v>-497.4820831182551</v>
      </c>
      <c r="H43" s="23">
        <f t="shared" si="14"/>
        <v>-269.37255960996481</v>
      </c>
      <c r="I43" s="23">
        <f t="shared" si="15"/>
        <v>-195.26285578230272</v>
      </c>
      <c r="J43" s="23">
        <f t="shared" si="16"/>
        <v>144.66316282072421</v>
      </c>
      <c r="K43" s="23">
        <f t="shared" si="17"/>
        <v>51538.991410290721</v>
      </c>
    </row>
    <row r="44" spans="1:16" ht="15">
      <c r="A44" s="8">
        <v>33604</v>
      </c>
      <c r="B44" s="23">
        <f t="shared" si="8"/>
        <v>-34627.204620372708</v>
      </c>
      <c r="C44" s="23">
        <f t="shared" si="9"/>
        <v>-3743.7470208273517</v>
      </c>
      <c r="D44" s="23">
        <f t="shared" si="10"/>
        <v>-3606.1815780925963</v>
      </c>
      <c r="E44" s="23">
        <f t="shared" si="11"/>
        <v>-3480.9507111701878</v>
      </c>
      <c r="F44" s="23">
        <f t="shared" si="12"/>
        <v>-3342.2817068864515</v>
      </c>
      <c r="G44" s="23">
        <f t="shared" si="13"/>
        <v>-340.5627581140252</v>
      </c>
      <c r="H44" s="23">
        <f t="shared" si="14"/>
        <v>-263.98782495067826</v>
      </c>
      <c r="I44" s="23">
        <f t="shared" si="15"/>
        <v>77.014562480046152</v>
      </c>
      <c r="J44" s="23">
        <f t="shared" si="16"/>
        <v>606.04819934540501</v>
      </c>
      <c r="K44" s="23">
        <f t="shared" si="17"/>
        <v>38732.368707466754</v>
      </c>
    </row>
    <row r="45" spans="1:16" ht="15">
      <c r="A45" s="8">
        <v>33970</v>
      </c>
      <c r="B45" s="23">
        <f t="shared" si="8"/>
        <v>-35791.367987575934</v>
      </c>
      <c r="C45" s="23">
        <f t="shared" si="9"/>
        <v>-3262.8069359300398</v>
      </c>
      <c r="D45" s="23">
        <f t="shared" si="10"/>
        <v>-3139.828685210221</v>
      </c>
      <c r="E45" s="23">
        <f t="shared" si="11"/>
        <v>-3004.8626744371759</v>
      </c>
      <c r="F45" s="23">
        <f t="shared" si="12"/>
        <v>-2767.5277527722719</v>
      </c>
      <c r="G45" s="23">
        <f t="shared" si="13"/>
        <v>-562.68656621798436</v>
      </c>
      <c r="H45" s="23">
        <f t="shared" si="14"/>
        <v>-225.42046134267184</v>
      </c>
      <c r="I45" s="23">
        <f t="shared" si="15"/>
        <v>299.32693557388666</v>
      </c>
      <c r="J45" s="23">
        <f t="shared" si="16"/>
        <v>962.51875884649326</v>
      </c>
      <c r="K45" s="23">
        <f t="shared" si="17"/>
        <v>47987.756837242923</v>
      </c>
    </row>
    <row r="46" spans="1:16" ht="15">
      <c r="A46" s="8">
        <v>34335</v>
      </c>
      <c r="B46" s="23">
        <f t="shared" si="8"/>
        <v>-37975.781376219267</v>
      </c>
      <c r="C46" s="23">
        <f t="shared" si="9"/>
        <v>-4392.4684015576586</v>
      </c>
      <c r="D46" s="23">
        <f t="shared" si="10"/>
        <v>-4265.624847241821</v>
      </c>
      <c r="E46" s="23">
        <f t="shared" si="11"/>
        <v>-4036.0630653030148</v>
      </c>
      <c r="F46" s="23">
        <f t="shared" si="12"/>
        <v>-3958.0345756000243</v>
      </c>
      <c r="G46" s="23">
        <f t="shared" si="13"/>
        <v>-1214.1286279170399</v>
      </c>
      <c r="H46" s="23">
        <f t="shared" si="14"/>
        <v>-687.81164250993243</v>
      </c>
      <c r="I46" s="23">
        <f t="shared" si="15"/>
        <v>-21.977203362534055</v>
      </c>
      <c r="J46" s="23">
        <f t="shared" si="16"/>
        <v>114.94415393971758</v>
      </c>
      <c r="K46" s="23">
        <f t="shared" si="17"/>
        <v>73808.149051561486</v>
      </c>
    </row>
    <row r="47" spans="1:16" ht="15">
      <c r="A47" s="8">
        <v>34700</v>
      </c>
      <c r="B47" s="23">
        <f t="shared" si="8"/>
        <v>-36395.546295233347</v>
      </c>
      <c r="C47" s="23">
        <f t="shared" si="9"/>
        <v>-3926.3761886791781</v>
      </c>
      <c r="D47" s="23">
        <f t="shared" si="10"/>
        <v>-3713.810246136256</v>
      </c>
      <c r="E47" s="23">
        <f t="shared" si="11"/>
        <v>-3654.4321885068584</v>
      </c>
      <c r="F47" s="23">
        <f t="shared" si="12"/>
        <v>-3328.2033161699037</v>
      </c>
      <c r="G47" s="23">
        <f t="shared" si="13"/>
        <v>-1593.1335302433308</v>
      </c>
      <c r="H47" s="23">
        <f t="shared" si="14"/>
        <v>-938.80515588116941</v>
      </c>
      <c r="I47" s="23">
        <f t="shared" si="15"/>
        <v>-812.51308772949778</v>
      </c>
      <c r="J47" s="23">
        <f t="shared" si="16"/>
        <v>-912.54070605744892</v>
      </c>
      <c r="K47" s="23">
        <f t="shared" si="17"/>
        <v>108439.88070419602</v>
      </c>
    </row>
    <row r="48" spans="1:16" ht="15">
      <c r="A48" s="8">
        <v>35065</v>
      </c>
      <c r="B48" s="23">
        <f t="shared" si="8"/>
        <v>-34267.607764366716</v>
      </c>
      <c r="C48" s="23">
        <f t="shared" si="9"/>
        <v>-2174.9646459149399</v>
      </c>
      <c r="D48" s="23">
        <f t="shared" si="10"/>
        <v>-2128.3347240775875</v>
      </c>
      <c r="E48" s="23">
        <f t="shared" si="11"/>
        <v>-1817.8574306871069</v>
      </c>
      <c r="F48" s="23">
        <f t="shared" si="12"/>
        <v>-1319.8728194911182</v>
      </c>
      <c r="G48" s="23">
        <f t="shared" si="13"/>
        <v>192.558925275398</v>
      </c>
      <c r="H48" s="23">
        <f t="shared" si="14"/>
        <v>291.84696402020927</v>
      </c>
      <c r="I48" s="23">
        <f t="shared" si="15"/>
        <v>160.88981164197412</v>
      </c>
      <c r="J48" s="23">
        <f t="shared" si="16"/>
        <v>-18.508534370983398</v>
      </c>
      <c r="K48" s="23">
        <f t="shared" si="17"/>
        <v>148851.13805289654</v>
      </c>
    </row>
    <row r="49" spans="1:11" ht="15">
      <c r="A49" s="8">
        <v>35431</v>
      </c>
      <c r="B49" s="23">
        <f t="shared" si="8"/>
        <v>-34134.517336971767</v>
      </c>
      <c r="C49" s="23">
        <f t="shared" si="9"/>
        <v>-1405.0335314283438</v>
      </c>
      <c r="D49" s="23">
        <f t="shared" si="10"/>
        <v>-1103.4322665905365</v>
      </c>
      <c r="E49" s="23">
        <f t="shared" si="11"/>
        <v>-616.25907287499467</v>
      </c>
      <c r="F49" s="23">
        <f t="shared" si="12"/>
        <v>7.3492081677422902</v>
      </c>
      <c r="G49" s="23">
        <f t="shared" si="13"/>
        <v>529.31024575946503</v>
      </c>
      <c r="H49" s="23">
        <f t="shared" si="14"/>
        <v>384.85228917647419</v>
      </c>
      <c r="I49" s="23">
        <f t="shared" si="15"/>
        <v>190.21085406303973</v>
      </c>
      <c r="J49" s="23">
        <f t="shared" si="16"/>
        <v>271.00490995885502</v>
      </c>
      <c r="K49" s="23">
        <f t="shared" si="17"/>
        <v>182569.14526388343</v>
      </c>
    </row>
    <row r="50" spans="1:11" ht="15">
      <c r="A50" s="8">
        <v>35796</v>
      </c>
      <c r="B50" s="23">
        <f t="shared" si="8"/>
        <v>-34872.956966640399</v>
      </c>
      <c r="C50" s="23">
        <f t="shared" si="9"/>
        <v>-1185.8090086367511</v>
      </c>
      <c r="D50" s="23">
        <f t="shared" si="10"/>
        <v>-705.24486954186432</v>
      </c>
      <c r="E50" s="23">
        <f t="shared" si="11"/>
        <v>-88.914777025376679</v>
      </c>
      <c r="F50" s="23">
        <f t="shared" si="12"/>
        <v>-5.541038957398996</v>
      </c>
      <c r="G50" s="23">
        <f t="shared" si="13"/>
        <v>859.00235218547823</v>
      </c>
      <c r="H50" s="23">
        <f t="shared" si="14"/>
        <v>647.13853533867496</v>
      </c>
      <c r="I50" s="23">
        <f t="shared" si="15"/>
        <v>708.542074127251</v>
      </c>
      <c r="J50" s="23">
        <f t="shared" si="16"/>
        <v>695.29609228280606</v>
      </c>
      <c r="K50" s="23">
        <f t="shared" si="17"/>
        <v>212564.77478584548</v>
      </c>
    </row>
    <row r="51" spans="1:11" ht="15">
      <c r="A51" s="8">
        <v>36161</v>
      </c>
      <c r="B51" s="23">
        <f t="shared" si="8"/>
        <v>-34150.464460516865</v>
      </c>
      <c r="C51" s="23">
        <f t="shared" si="9"/>
        <v>-1239.4350970014475</v>
      </c>
      <c r="D51" s="23">
        <f t="shared" si="10"/>
        <v>-633.80132247801157</v>
      </c>
      <c r="E51" s="23">
        <f t="shared" si="11"/>
        <v>-561.04214003025845</v>
      </c>
      <c r="F51" s="23">
        <f t="shared" si="12"/>
        <v>-719.88091789464488</v>
      </c>
      <c r="G51" s="23">
        <f t="shared" si="13"/>
        <v>897.87581202405272</v>
      </c>
      <c r="H51" s="23">
        <f t="shared" si="14"/>
        <v>941.78446915049972</v>
      </c>
      <c r="I51" s="23">
        <f t="shared" si="15"/>
        <v>909.74321760917974</v>
      </c>
      <c r="J51" s="23">
        <f t="shared" si="16"/>
        <v>965.38078392804255</v>
      </c>
      <c r="K51" s="23">
        <f t="shared" si="17"/>
        <v>217030.71445698533</v>
      </c>
    </row>
    <row r="52" spans="1:11" ht="15">
      <c r="A52" s="8">
        <v>36526</v>
      </c>
      <c r="B52" s="23">
        <f t="shared" si="8"/>
        <v>-32562.188483184123</v>
      </c>
      <c r="C52" s="23">
        <f t="shared" si="9"/>
        <v>-1299.4382125493139</v>
      </c>
      <c r="D52" s="23">
        <f t="shared" si="10"/>
        <v>-1242.3987974473366</v>
      </c>
      <c r="E52" s="23">
        <f t="shared" si="11"/>
        <v>-1416.8331398907421</v>
      </c>
      <c r="F52" s="23">
        <f t="shared" si="12"/>
        <v>-1640.9068722003958</v>
      </c>
      <c r="G52" s="23">
        <f t="shared" si="13"/>
        <v>1385.3246153219079</v>
      </c>
      <c r="H52" s="23">
        <f t="shared" si="14"/>
        <v>1331.2885291296643</v>
      </c>
      <c r="I52" s="23">
        <f t="shared" si="15"/>
        <v>1363.3701342191162</v>
      </c>
      <c r="J52" s="23">
        <f t="shared" si="16"/>
        <v>2241.8658787934369</v>
      </c>
      <c r="K52" s="23">
        <f t="shared" si="17"/>
        <v>211813.04969833451</v>
      </c>
    </row>
    <row r="53" spans="1:11" ht="15">
      <c r="A53" s="8">
        <v>36892</v>
      </c>
      <c r="B53" s="23">
        <f t="shared" si="8"/>
        <v>-29743.245866962723</v>
      </c>
      <c r="C53" s="23">
        <f t="shared" si="9"/>
        <v>8.6603149196425875</v>
      </c>
      <c r="D53" s="23">
        <f t="shared" si="10"/>
        <v>-181.88097655949423</v>
      </c>
      <c r="E53" s="23">
        <f t="shared" si="11"/>
        <v>-424.65187403389973</v>
      </c>
      <c r="F53" s="23">
        <f t="shared" si="12"/>
        <v>-394.11178343839492</v>
      </c>
      <c r="G53" s="23">
        <f t="shared" si="13"/>
        <v>823.29392021379863</v>
      </c>
      <c r="H53" s="23">
        <f t="shared" si="14"/>
        <v>852.55069171364084</v>
      </c>
      <c r="I53" s="23">
        <f t="shared" si="15"/>
        <v>1728.8656154982673</v>
      </c>
      <c r="J53" s="23">
        <f t="shared" si="16"/>
        <v>2327.1075279124516</v>
      </c>
      <c r="K53" s="23">
        <f t="shared" si="17"/>
        <v>229233.52944407676</v>
      </c>
    </row>
    <row r="54" spans="1:11" ht="15">
      <c r="A54" s="8">
        <v>37257</v>
      </c>
      <c r="B54" s="23">
        <f t="shared" si="8"/>
        <v>-32691.072306246166</v>
      </c>
      <c r="C54" s="23">
        <f t="shared" si="9"/>
        <v>-354.69984148124695</v>
      </c>
      <c r="D54" s="23">
        <f t="shared" si="10"/>
        <v>-595.88740632609097</v>
      </c>
      <c r="E54" s="23">
        <f t="shared" si="11"/>
        <v>-564.36303183642667</v>
      </c>
      <c r="F54" s="23">
        <f t="shared" si="12"/>
        <v>-608.01623894340082</v>
      </c>
      <c r="G54" s="23">
        <f t="shared" si="13"/>
        <v>-172.73778931051947</v>
      </c>
      <c r="H54" s="23">
        <f t="shared" si="14"/>
        <v>716.2037417935544</v>
      </c>
      <c r="I54" s="23">
        <f t="shared" si="15"/>
        <v>1328.3859800886949</v>
      </c>
      <c r="J54" s="23">
        <f t="shared" si="16"/>
        <v>1518.9246769962519</v>
      </c>
      <c r="K54" s="23">
        <f t="shared" si="17"/>
        <v>224051.87886940152</v>
      </c>
    </row>
    <row r="55" spans="1:11" ht="15">
      <c r="A55" s="8">
        <v>37622</v>
      </c>
      <c r="B55" s="23">
        <f t="shared" si="8"/>
        <v>-40710.199557090054</v>
      </c>
      <c r="C55" s="23">
        <f t="shared" si="9"/>
        <v>-1230.4052587648493</v>
      </c>
      <c r="D55" s="23">
        <f t="shared" si="10"/>
        <v>-1182.6865659191099</v>
      </c>
      <c r="E55" s="23">
        <f t="shared" si="11"/>
        <v>-1210.3232675632771</v>
      </c>
      <c r="F55" s="23">
        <f t="shared" si="12"/>
        <v>-1149.6364422687766</v>
      </c>
      <c r="G55" s="23">
        <f t="shared" si="13"/>
        <v>-754.23971307055672</v>
      </c>
      <c r="H55" s="23">
        <f t="shared" si="14"/>
        <v>-113.61748776369222</v>
      </c>
      <c r="I55" s="23">
        <f t="shared" si="15"/>
        <v>107.03176335456556</v>
      </c>
      <c r="J55" s="23">
        <f t="shared" si="16"/>
        <v>463.88057989167555</v>
      </c>
      <c r="K55" s="23">
        <f t="shared" si="17"/>
        <v>193788.402103272</v>
      </c>
    </row>
    <row r="56" spans="1:11" ht="15">
      <c r="A56" s="8">
        <v>37987</v>
      </c>
      <c r="B56" s="23">
        <f t="shared" si="8"/>
        <v>-49184.685706216973</v>
      </c>
      <c r="C56" s="23">
        <f t="shared" si="9"/>
        <v>-2223.2258472565227</v>
      </c>
      <c r="D56" s="23">
        <f t="shared" si="10"/>
        <v>-2233.2853094041957</v>
      </c>
      <c r="E56" s="23">
        <f t="shared" si="11"/>
        <v>-2154.5873027241523</v>
      </c>
      <c r="F56" s="23">
        <f t="shared" si="12"/>
        <v>-1226.6838095521034</v>
      </c>
      <c r="G56" s="23">
        <f t="shared" si="13"/>
        <v>631.12221232035427</v>
      </c>
      <c r="H56" s="23">
        <f t="shared" si="14"/>
        <v>840.01903866094653</v>
      </c>
      <c r="I56" s="23">
        <f t="shared" si="15"/>
        <v>1181.5435630405163</v>
      </c>
      <c r="J56" s="23">
        <f t="shared" si="16"/>
        <v>1678.6411826517551</v>
      </c>
      <c r="K56" s="23">
        <f t="shared" si="17"/>
        <v>167308.26770922577</v>
      </c>
    </row>
    <row r="57" spans="1:11" ht="15">
      <c r="A57" s="8">
        <v>38353</v>
      </c>
      <c r="B57" s="23">
        <f t="shared" si="8"/>
        <v>-57748.216772196567</v>
      </c>
      <c r="C57" s="23">
        <f t="shared" si="9"/>
        <v>-3103.1042620405151</v>
      </c>
      <c r="D57" s="23">
        <f t="shared" si="10"/>
        <v>-3008.7431941784198</v>
      </c>
      <c r="E57" s="23">
        <f t="shared" si="11"/>
        <v>-2065.119857463962</v>
      </c>
      <c r="F57" s="23">
        <f t="shared" si="12"/>
        <v>-1397.3040144717725</v>
      </c>
      <c r="G57" s="23">
        <f t="shared" si="13"/>
        <v>75.596505539197096</v>
      </c>
      <c r="H57" s="23">
        <f t="shared" si="14"/>
        <v>433.27252814025178</v>
      </c>
      <c r="I57" s="23">
        <f t="shared" si="15"/>
        <v>946.63906547263832</v>
      </c>
      <c r="J57" s="23">
        <f t="shared" si="16"/>
        <v>1431.6987328328978</v>
      </c>
      <c r="K57" s="23">
        <f t="shared" si="17"/>
        <v>168379.54930265859</v>
      </c>
    </row>
    <row r="58" spans="1:11" ht="15">
      <c r="A58" s="8">
        <v>38718</v>
      </c>
      <c r="B58" s="23">
        <f t="shared" si="8"/>
        <v>-67637.827157326203</v>
      </c>
      <c r="C58" s="23">
        <f t="shared" si="9"/>
        <v>-5529.5633711369046</v>
      </c>
      <c r="D58" s="23">
        <f t="shared" si="10"/>
        <v>-4556.5244949853422</v>
      </c>
      <c r="E58" s="23">
        <f t="shared" si="11"/>
        <v>-3856.6302975131684</v>
      </c>
      <c r="F58" s="23">
        <f t="shared" si="12"/>
        <v>-3574.6176807853481</v>
      </c>
      <c r="G58" s="23">
        <f t="shared" si="13"/>
        <v>-169.29774634085879</v>
      </c>
      <c r="H58" s="23">
        <f t="shared" si="14"/>
        <v>354.60011143974771</v>
      </c>
      <c r="I58" s="23">
        <f t="shared" si="15"/>
        <v>849.95470493714856</v>
      </c>
      <c r="J58" s="23">
        <f t="shared" si="16"/>
        <v>1266.1911137286379</v>
      </c>
      <c r="K58" s="23">
        <f t="shared" si="17"/>
        <v>147318.40732543822</v>
      </c>
    </row>
    <row r="59" spans="1:11" ht="15">
      <c r="A59" s="8">
        <v>39083</v>
      </c>
      <c r="B59" s="23">
        <f t="shared" si="8"/>
        <v>-76802.188339388173</v>
      </c>
      <c r="C59" s="23">
        <f t="shared" si="9"/>
        <v>-6987.2677326082921</v>
      </c>
      <c r="D59" s="23">
        <f t="shared" si="10"/>
        <v>-6265.4187160710926</v>
      </c>
      <c r="E59" s="23">
        <f t="shared" si="11"/>
        <v>-5959.1885235061436</v>
      </c>
      <c r="F59" s="23">
        <f t="shared" si="12"/>
        <v>-5512.1714125941562</v>
      </c>
      <c r="G59" s="23">
        <f t="shared" si="13"/>
        <v>96.606491846077915</v>
      </c>
      <c r="H59" s="23">
        <f t="shared" si="14"/>
        <v>591.93690639926444</v>
      </c>
      <c r="I59" s="23">
        <f t="shared" si="15"/>
        <v>1007.2583893620558</v>
      </c>
      <c r="J59" s="23">
        <f t="shared" si="16"/>
        <v>1740.1792462010862</v>
      </c>
      <c r="K59" s="23">
        <f t="shared" si="17"/>
        <v>153691.29693771063</v>
      </c>
    </row>
    <row r="60" spans="1:11" ht="15">
      <c r="A60" s="8">
        <v>39448</v>
      </c>
      <c r="B60" s="23">
        <f t="shared" si="8"/>
        <v>-76776.738056872928</v>
      </c>
      <c r="C60" s="23">
        <f t="shared" si="9"/>
        <v>-6771.4943976460554</v>
      </c>
      <c r="D60" s="23">
        <f t="shared" si="10"/>
        <v>-6478.2524549049267</v>
      </c>
      <c r="E60" s="23">
        <f t="shared" si="11"/>
        <v>-6044.7848239752493</v>
      </c>
      <c r="F60" s="23">
        <f t="shared" si="12"/>
        <v>-5447.6042268873553</v>
      </c>
      <c r="G60" s="23">
        <f t="shared" si="13"/>
        <v>437.35193034929216</v>
      </c>
      <c r="H60" s="23">
        <f t="shared" si="14"/>
        <v>842.03324774846988</v>
      </c>
      <c r="I60" s="23">
        <f t="shared" si="15"/>
        <v>1563.7882170748408</v>
      </c>
      <c r="J60" s="23">
        <f t="shared" si="16"/>
        <v>2100.1187327133275</v>
      </c>
      <c r="K60" s="23">
        <f t="shared" si="17"/>
        <v>216068.27238867583</v>
      </c>
    </row>
    <row r="61" spans="1:11" ht="15">
      <c r="A61" s="8">
        <v>39814</v>
      </c>
      <c r="B61" s="23">
        <f t="shared" si="8"/>
        <v>-70867.06592166092</v>
      </c>
      <c r="C61" s="23">
        <f t="shared" si="9"/>
        <v>-3058.5441148656355</v>
      </c>
      <c r="D61" s="23">
        <f t="shared" si="10"/>
        <v>-2679.6997447849863</v>
      </c>
      <c r="E61" s="23">
        <f t="shared" si="11"/>
        <v>-2143.742451317632</v>
      </c>
      <c r="F61" s="23">
        <f t="shared" si="12"/>
        <v>-1634.5895873959689</v>
      </c>
      <c r="G61" s="23">
        <f t="shared" si="13"/>
        <v>991.20269951036698</v>
      </c>
      <c r="H61" s="23">
        <f t="shared" si="14"/>
        <v>1691.7757583262446</v>
      </c>
      <c r="I61" s="23">
        <f t="shared" si="15"/>
        <v>2206.0089982717736</v>
      </c>
      <c r="J61" s="23">
        <f t="shared" si="16"/>
        <v>2511.7764326421056</v>
      </c>
      <c r="K61" s="23">
        <f t="shared" si="17"/>
        <v>280572.5190485036</v>
      </c>
    </row>
    <row r="62" spans="1:11" ht="15">
      <c r="A62" s="8">
        <v>40179</v>
      </c>
      <c r="B62" s="23">
        <f t="shared" si="8"/>
        <v>-73466.866223275923</v>
      </c>
      <c r="C62" s="23">
        <f t="shared" si="9"/>
        <v>-2742.2571548127125</v>
      </c>
      <c r="D62" s="23">
        <f t="shared" si="10"/>
        <v>-2214.08543966871</v>
      </c>
      <c r="E62" s="23">
        <f t="shared" si="11"/>
        <v>-1713.6450289027107</v>
      </c>
      <c r="F62" s="23">
        <f t="shared" si="12"/>
        <v>-1291.4558407996574</v>
      </c>
      <c r="G62" s="23">
        <f t="shared" si="13"/>
        <v>1889.9861678452135</v>
      </c>
      <c r="H62" s="23">
        <f t="shared" si="14"/>
        <v>2387.0229125103951</v>
      </c>
      <c r="I62" s="23">
        <f t="shared" si="15"/>
        <v>2674.3218244346699</v>
      </c>
      <c r="J62" s="23">
        <f t="shared" si="16"/>
        <v>3428.9123502594157</v>
      </c>
      <c r="K62" s="23">
        <f t="shared" si="17"/>
        <v>271196.04394711892</v>
      </c>
    </row>
    <row r="63" spans="1:11" ht="15">
      <c r="A63" s="8">
        <v>40544</v>
      </c>
      <c r="B63" s="23">
        <f t="shared" si="8"/>
        <v>-73257.532021768449</v>
      </c>
      <c r="C63" s="23">
        <f t="shared" si="9"/>
        <v>-1892.917570308884</v>
      </c>
      <c r="D63" s="23">
        <f t="shared" si="10"/>
        <v>-1409.9026411400482</v>
      </c>
      <c r="E63" s="23">
        <f t="shared" si="11"/>
        <v>-1006.4537027617534</v>
      </c>
      <c r="F63" s="23">
        <f t="shared" si="12"/>
        <v>-284.91714215429874</v>
      </c>
      <c r="G63" s="23">
        <f t="shared" si="13"/>
        <v>2275.7174783479668</v>
      </c>
      <c r="H63" s="23">
        <f t="shared" si="14"/>
        <v>2553.2706961206022</v>
      </c>
      <c r="I63" s="23">
        <f t="shared" si="15"/>
        <v>3297.6762776392134</v>
      </c>
      <c r="J63" s="23">
        <f t="shared" si="16"/>
        <v>4215.2902286801909</v>
      </c>
      <c r="K63" s="23">
        <f t="shared" si="17"/>
        <v>285171.51228892698</v>
      </c>
    </row>
    <row r="64" spans="1:11" ht="15">
      <c r="A64" s="8">
        <v>40909</v>
      </c>
      <c r="B64" s="23">
        <f t="shared" si="8"/>
        <v>-69206.70862156873</v>
      </c>
      <c r="C64" s="23">
        <f t="shared" si="9"/>
        <v>-505.81204493708537</v>
      </c>
      <c r="D64" s="23">
        <f t="shared" si="10"/>
        <v>-133.7294325388475</v>
      </c>
      <c r="E64" s="23">
        <f t="shared" si="11"/>
        <v>554.53210666335599</v>
      </c>
      <c r="F64" s="23">
        <f t="shared" si="12"/>
        <v>1056.450741069988</v>
      </c>
      <c r="G64" s="23">
        <f t="shared" si="13"/>
        <v>2348.3446620851555</v>
      </c>
      <c r="H64" s="23">
        <f t="shared" si="14"/>
        <v>3083.3662602936602</v>
      </c>
      <c r="I64" s="23">
        <f t="shared" si="15"/>
        <v>3991.5460288353752</v>
      </c>
      <c r="J64" s="23">
        <f t="shared" si="16"/>
        <v>3903.4089137271621</v>
      </c>
    </row>
    <row r="65" spans="1:10" ht="15">
      <c r="A65" s="8">
        <v>41275</v>
      </c>
      <c r="B65" s="23">
        <f t="shared" si="8"/>
        <v>-66521.055113123133</v>
      </c>
      <c r="C65" s="23">
        <f t="shared" si="9"/>
        <v>34.644829758392916</v>
      </c>
      <c r="D65" s="23">
        <f t="shared" si="10"/>
        <v>706.0485129711351</v>
      </c>
      <c r="E65" s="23">
        <f t="shared" si="11"/>
        <v>1190.408210779241</v>
      </c>
      <c r="F65" s="23">
        <f t="shared" si="12"/>
        <v>1465.5825907572371</v>
      </c>
      <c r="G65" s="23">
        <f t="shared" si="13"/>
        <v>1790.3968825691527</v>
      </c>
      <c r="H65" s="23">
        <f t="shared" si="14"/>
        <v>2718.4270828380259</v>
      </c>
      <c r="I65" s="23">
        <f t="shared" si="15"/>
        <v>2652.1977945854715</v>
      </c>
      <c r="J65" s="15"/>
    </row>
    <row r="66" spans="1:10" ht="15">
      <c r="A66" s="8">
        <v>41640</v>
      </c>
      <c r="B66" s="23">
        <f t="shared" si="8"/>
        <v>-71294.892267226562</v>
      </c>
      <c r="C66" s="23">
        <f t="shared" si="9"/>
        <v>212.91404393841913</v>
      </c>
      <c r="D66" s="23">
        <f t="shared" si="10"/>
        <v>701.11460174669173</v>
      </c>
      <c r="E66" s="23">
        <f t="shared" si="11"/>
        <v>980.03702369177427</v>
      </c>
      <c r="F66" s="23">
        <f t="shared" si="12"/>
        <v>1726.745739056405</v>
      </c>
      <c r="G66" s="23">
        <f t="shared" si="13"/>
        <v>2244.4177701862973</v>
      </c>
      <c r="H66" s="23">
        <f t="shared" si="14"/>
        <v>2180.6361237238252</v>
      </c>
      <c r="J66" s="15"/>
    </row>
    <row r="67" spans="1:10" ht="15">
      <c r="A67" s="8">
        <v>42005</v>
      </c>
      <c r="B67" s="23">
        <f t="shared" si="8"/>
        <v>-70474.796892059079</v>
      </c>
      <c r="C67" s="23">
        <f t="shared" si="9"/>
        <v>1216.0087470855697</v>
      </c>
      <c r="D67" s="23">
        <f t="shared" si="10"/>
        <v>1474.1167769200847</v>
      </c>
      <c r="E67" s="23">
        <f t="shared" si="11"/>
        <v>2198.6972386225298</v>
      </c>
      <c r="F67" s="23">
        <f t="shared" si="12"/>
        <v>3096.1000086272707</v>
      </c>
      <c r="G67" s="23">
        <f t="shared" si="13"/>
        <v>3595.424926962789</v>
      </c>
      <c r="J67" s="15"/>
    </row>
    <row r="68" spans="1:10" ht="15">
      <c r="A68" s="8">
        <v>42370</v>
      </c>
      <c r="B68" s="23">
        <f t="shared" si="8"/>
        <v>-76759.212328898939</v>
      </c>
      <c r="C68" s="23">
        <f t="shared" si="9"/>
        <v>860.70559963224696</v>
      </c>
      <c r="D68" s="23">
        <f t="shared" si="10"/>
        <v>1593.5965555156472</v>
      </c>
      <c r="E68" s="23">
        <f t="shared" si="11"/>
        <v>2499.3810113460568</v>
      </c>
      <c r="F68" s="23">
        <f t="shared" si="12"/>
        <v>2408.5708444586762</v>
      </c>
      <c r="G68" s="11"/>
      <c r="J68" s="15"/>
    </row>
    <row r="69" spans="1:10" ht="15">
      <c r="A69" s="8">
        <v>42736</v>
      </c>
      <c r="B69" s="23">
        <f t="shared" si="8"/>
        <v>-92750.94094400933</v>
      </c>
      <c r="C69" s="23">
        <f t="shared" si="9"/>
        <v>-280.38290898581909</v>
      </c>
      <c r="D69" s="23">
        <f t="shared" si="10"/>
        <v>666.9971389720049</v>
      </c>
      <c r="E69" s="23">
        <f t="shared" si="11"/>
        <v>619.16775044521273</v>
      </c>
      <c r="F69" s="11"/>
      <c r="G69" s="11"/>
      <c r="J69" s="15"/>
    </row>
    <row r="70" spans="1:10" ht="15">
      <c r="A70" s="8">
        <v>43101</v>
      </c>
      <c r="B70" s="23">
        <f t="shared" si="8"/>
        <v>-106518.01446676877</v>
      </c>
      <c r="C70" s="23">
        <f t="shared" si="9"/>
        <v>-2800.3088615259712</v>
      </c>
      <c r="D70" s="23">
        <f t="shared" si="10"/>
        <v>-2784.3902273819222</v>
      </c>
      <c r="E70" s="11"/>
      <c r="F70" s="11"/>
      <c r="G70" s="11"/>
      <c r="J70" s="15"/>
    </row>
    <row r="71" spans="1:10" ht="15">
      <c r="A71" s="8">
        <v>43466</v>
      </c>
      <c r="B71" s="23">
        <f t="shared" si="8"/>
        <v>-104260.0509198097</v>
      </c>
      <c r="C71" s="23">
        <f t="shared" si="9"/>
        <v>-2596.1778095559839</v>
      </c>
      <c r="D71" s="11"/>
      <c r="E71" s="11"/>
      <c r="F71" s="11"/>
      <c r="G71" s="11"/>
      <c r="J71" s="15"/>
    </row>
    <row r="72" spans="1:10" ht="15">
      <c r="A72" s="8">
        <v>43831</v>
      </c>
      <c r="B72" s="23">
        <f t="shared" si="8"/>
        <v>-105443.05440192719</v>
      </c>
      <c r="C72" s="11"/>
      <c r="D72" s="11"/>
      <c r="E72" s="11"/>
      <c r="F72" s="11"/>
      <c r="G72" s="11"/>
      <c r="J72" s="15"/>
    </row>
    <row r="73" spans="1:10">
      <c r="J73" s="15"/>
    </row>
    <row r="74" spans="1:10">
      <c r="J74" s="15"/>
    </row>
    <row r="75" spans="1:10">
      <c r="J75" s="15"/>
    </row>
    <row r="76" spans="1:10">
      <c r="J76" s="15"/>
    </row>
  </sheetData>
  <mergeCells count="3">
    <mergeCell ref="C1:F1"/>
    <mergeCell ref="N1:Q1"/>
    <mergeCell ref="B38:K38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 Spalteholz</dc:creator>
  <dc:description/>
  <cp:lastModifiedBy>leos</cp:lastModifiedBy>
  <cp:revision>1</cp:revision>
  <dcterms:created xsi:type="dcterms:W3CDTF">2020-11-15T18:22:33Z</dcterms:created>
  <dcterms:modified xsi:type="dcterms:W3CDTF">2020-11-16T21:15:46Z</dcterms:modified>
  <dc:language>en-CA</dc:language>
</cp:coreProperties>
</file>